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9" i="1" l="1"/>
  <c r="L59" i="1"/>
  <c r="J59" i="1"/>
  <c r="H59" i="1"/>
  <c r="O58" i="1"/>
  <c r="L58" i="1"/>
  <c r="J58" i="1"/>
  <c r="H58" i="1"/>
  <c r="O57" i="1"/>
  <c r="L57" i="1"/>
  <c r="J57" i="1"/>
  <c r="H57" i="1"/>
  <c r="O56" i="1"/>
  <c r="L56" i="1"/>
  <c r="J56" i="1"/>
  <c r="H56" i="1"/>
  <c r="O55" i="1"/>
  <c r="L55" i="1"/>
  <c r="J55" i="1"/>
  <c r="H55" i="1"/>
  <c r="O54" i="1"/>
  <c r="L54" i="1"/>
  <c r="J54" i="1"/>
  <c r="H54" i="1"/>
  <c r="O53" i="1"/>
  <c r="L53" i="1"/>
  <c r="J53" i="1"/>
  <c r="H53" i="1"/>
  <c r="AB52" i="1"/>
  <c r="O52" i="1"/>
  <c r="L52" i="1"/>
  <c r="J52" i="1"/>
  <c r="H52" i="1"/>
  <c r="AB51" i="1"/>
  <c r="O51" i="1"/>
  <c r="L51" i="1"/>
  <c r="J51" i="1"/>
  <c r="H51" i="1"/>
  <c r="AB50" i="1"/>
  <c r="O50" i="1"/>
  <c r="L50" i="1"/>
  <c r="J50" i="1"/>
  <c r="H50" i="1"/>
  <c r="AB49" i="1"/>
  <c r="O49" i="1"/>
  <c r="L49" i="1"/>
  <c r="J49" i="1"/>
  <c r="H49" i="1"/>
  <c r="AB48" i="1"/>
  <c r="O48" i="1"/>
  <c r="L48" i="1"/>
  <c r="J48" i="1"/>
  <c r="H48" i="1"/>
  <c r="AB47" i="1"/>
  <c r="O47" i="1"/>
  <c r="L47" i="1"/>
  <c r="J47" i="1"/>
  <c r="H47" i="1"/>
  <c r="AB46" i="1"/>
  <c r="O46" i="1"/>
  <c r="L46" i="1"/>
  <c r="J46" i="1"/>
  <c r="H46" i="1"/>
  <c r="AB45" i="1"/>
  <c r="O45" i="1"/>
  <c r="L45" i="1"/>
  <c r="J45" i="1"/>
  <c r="H45" i="1"/>
  <c r="AB44" i="1"/>
  <c r="O44" i="1"/>
  <c r="L44" i="1"/>
  <c r="J44" i="1"/>
  <c r="H44" i="1"/>
  <c r="AB43" i="1"/>
  <c r="O43" i="1"/>
  <c r="L43" i="1"/>
  <c r="J43" i="1"/>
  <c r="H43" i="1"/>
  <c r="AB42" i="1"/>
  <c r="O42" i="1"/>
  <c r="L42" i="1"/>
  <c r="J42" i="1"/>
  <c r="H42" i="1"/>
  <c r="AB41" i="1"/>
  <c r="O41" i="1"/>
  <c r="L41" i="1"/>
  <c r="J41" i="1"/>
  <c r="H41" i="1"/>
  <c r="AB40" i="1"/>
  <c r="O40" i="1"/>
  <c r="L40" i="1"/>
  <c r="J40" i="1"/>
  <c r="H40" i="1"/>
  <c r="AB39" i="1"/>
  <c r="O39" i="1"/>
  <c r="L39" i="1"/>
  <c r="J39" i="1"/>
  <c r="H39" i="1"/>
  <c r="AB38" i="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O31" i="1"/>
  <c r="L31" i="1"/>
  <c r="J31" i="1"/>
  <c r="H31" i="1"/>
  <c r="O30" i="1"/>
  <c r="L30" i="1"/>
  <c r="J30" i="1"/>
  <c r="H30" i="1"/>
  <c r="O29" i="1"/>
  <c r="L29" i="1"/>
  <c r="J29" i="1"/>
  <c r="H29" i="1"/>
  <c r="AB28"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<sst xmlns="http://schemas.openxmlformats.org/spreadsheetml/2006/main" count="550" uniqueCount="211">
  <si>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</si>
  <si>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</si>
  <si>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</si>
  <si>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</si>
  <si>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</si>
  <si>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</si>
  <si>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</si>
  <si>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</si>
  <si>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</si>
  <si>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</si>
  <si>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</si>
  <si>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</si>
  <si>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</si>
  <si>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</si>
  <si>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</si>
  <si>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</si>
  <si>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</si>
  <si>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</si>
  <si>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</si>
  <si>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</si>
  <si>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</si>
  <si>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</si>
  <si>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</si>
  <si>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</si>
  <si>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</si>
  <si>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</si>
  <si>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</si>
  <si>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</si>
  <si>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</si>
  <si>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</si>
  <si>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</si>
  <si>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</si>
  <si>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</si>
  <si>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P2415</t>
  </si>
  <si>
    <t>Reserve fund for TandF Committee</t>
  </si>
  <si>
    <t>P3294</t>
  </si>
  <si>
    <t>14th Finance Commission Works - General Public ToiletandSeptage Maintenance</t>
  </si>
  <si>
    <t>M and R to Street Lights - Replacement of Burnt Bulbs etc. (Package)</t>
  </si>
  <si>
    <t>P0300</t>
  </si>
  <si>
    <t>P3293</t>
  </si>
  <si>
    <t>14th Finance Commission Works - Drinking Water</t>
  </si>
  <si>
    <t>P3291</t>
  </si>
  <si>
    <t>14th Fin  -Maintenance of Cremotorium, Burial Grounds</t>
  </si>
  <si>
    <t>P3292</t>
  </si>
  <si>
    <t>14th Finance Commission Works - Community Property Maintenance (including Parks)</t>
  </si>
  <si>
    <t>P0190</t>
  </si>
  <si>
    <t>Works sanctioned by Hon Mayor</t>
  </si>
  <si>
    <t>P3298</t>
  </si>
  <si>
    <t>14th Finance Commission Works - SWM Works</t>
  </si>
  <si>
    <t>P2178</t>
  </si>
  <si>
    <t>Works sanctioned by Dy. Mayor</t>
  </si>
  <si>
    <t>P3290</t>
  </si>
  <si>
    <t>14th Finance Commission Works - Providing Street Lights and Maintenance</t>
  </si>
  <si>
    <t>P3106</t>
  </si>
  <si>
    <t>Nagarothana Works</t>
  </si>
  <si>
    <t>ddo313</t>
  </si>
  <si>
    <t xml:space="preserve"> Chief Engineer SWD Central Zone</t>
  </si>
  <si>
    <t>ddo258</t>
  </si>
  <si>
    <t xml:space="preserve"> Executive Engineer Electrical South Zone</t>
  </si>
  <si>
    <t>ddo422</t>
  </si>
  <si>
    <t xml:space="preserve"> Executive Engineer Project - South Zone</t>
  </si>
  <si>
    <t>ddo490</t>
  </si>
  <si>
    <t xml:space="preserve"> Assistant Executive Engineer Banashankari South Zone</t>
  </si>
  <si>
    <t>Yediyuru</t>
  </si>
  <si>
    <t>167-16-000002</t>
  </si>
  <si>
    <t>Operation and Maintenance of Street Lighting System in Ward No.167 Package S-6 of South Zone</t>
  </si>
  <si>
    <t>Muniraju H C (Sri Chamundeshwari Electricals)</t>
  </si>
  <si>
    <t>167-18-000027</t>
  </si>
  <si>
    <t>Construction of RCC retaining wall and improvements to Footpath at Yadiyur Lake bund S. Kariyappa road in ward no 167 Yadiyur</t>
  </si>
  <si>
    <t>S Manjunath</t>
  </si>
  <si>
    <t>167-17-000056</t>
  </si>
  <si>
    <t>Providing Balance Improvemental works inside Patalamma Park 3rd Block Jayanagar in ward no 167</t>
  </si>
  <si>
    <t>M/s. Impana Constructions, Prop. Smt. H.S. Nandini</t>
  </si>
  <si>
    <t>167-17-000013</t>
  </si>
  <si>
    <t>Improvements to alround drain at Yadiyur lake park surroundings boating platform construction of compost pit and foundation pedestal for installation of Swamy Vivekananda Statue in Yadiyur lake in ward no 167</t>
  </si>
  <si>
    <t>S MANJUNATH</t>
  </si>
  <si>
    <t>P2582</t>
  </si>
  <si>
    <t>Development of Yediyur lake and installation of 32 feet vivekananda statue</t>
  </si>
  <si>
    <t>167-18-000005</t>
  </si>
  <si>
    <t>Providing Ornamental grills to the Lakshman Rao Buleward-D Park in ward no 167</t>
  </si>
  <si>
    <t>S.Manjunath</t>
  </si>
  <si>
    <t>167-18-000008</t>
  </si>
  <si>
    <t>Providing Construction and Installation of Statues and Pedestals of Freedom Fighters at Yediyur Lake Park in ward no 167</t>
  </si>
  <si>
    <t>167-19-000025</t>
  </si>
  <si>
    <t>Construction of Ballon Room (Bio-gas Holder room) and D.G. Room at Bio Methenization plant premises 4th main South End Circle in Ward No-167.</t>
  </si>
  <si>
    <t>M/S Shree Chamundeshwari Electricals (Muniraju HC)</t>
  </si>
  <si>
    <t>167-15-000038</t>
  </si>
  <si>
    <t xml:space="preserve">Engaging men and materials for removal of debris and cleaning of drains in Ward No 167 </t>
  </si>
  <si>
    <t>M/s. Sri Lakhsmi Ranganatha Swamy Enterprises,   Prop. Sri. B.S. Kiran Kumar</t>
  </si>
  <si>
    <t>167-18-000001</t>
  </si>
  <si>
    <t>Providing Pathway Lightings and other Electrical works in between Sanjeevini vana and Dhanvanti Vana in ward no 167.</t>
  </si>
  <si>
    <t>M/S Sri Chamundeshwarai Electricals (Muniraju.H.C)</t>
  </si>
  <si>
    <t>167-18-000013</t>
  </si>
  <si>
    <t>Providing Pathway Lightings and other Electrical works in Ambedkar park A K colony Jayanagar 6th Block in ward no 167</t>
  </si>
  <si>
    <t>167-19-000008</t>
  </si>
  <si>
    <t>Providing street lights and maintenance at ward no 167 Yediyur</t>
  </si>
  <si>
    <t>M/S Meghana Electricals (Munichamaiah C)</t>
  </si>
  <si>
    <t>167-19-000022</t>
  </si>
  <si>
    <t>Construction of RCC Box Drain at South East Corner of Yediyur lake park in ward no 167</t>
  </si>
  <si>
    <t>SATISH R</t>
  </si>
  <si>
    <t>167-19-000023</t>
  </si>
  <si>
    <t>Construction of Vaidhika Pooja Center at South East Corner of Yediyur lake park in ward no 167</t>
  </si>
  <si>
    <t>167-19-000024</t>
  </si>
  <si>
    <t>Additional Improvemental works for construction of Vaidhika Center at South East Corner of Yediyur lake park in ward no 167</t>
  </si>
  <si>
    <t>167-14-000018</t>
  </si>
  <si>
    <t>Emergency work in Ward No 167 (1. Providing Pre cast RCC drain covering slabs over half cut NP2 pipe drain at 27th A cross, 26th cross and 5th A main Obalappa Garden in Ward No-167, 2. Providing steel Barricading at OVH road old KP road junction, OVH road Armugam Circle junction and OVH road KR road junction in Ward No-167, 3. Supply of primary materials to Primary health center at Sakamma Garden in Ward No-167.)</t>
  </si>
  <si>
    <t>Technical Managar (3), KRIDL</t>
  </si>
  <si>
    <t>167-17-000024</t>
  </si>
  <si>
    <t>Improvements to drains 3rd A main 3rd cross and surroundings of AK Colony 6th block Jayanagar in Ward No.167</t>
  </si>
  <si>
    <t>B N MOHANKUMAR</t>
  </si>
  <si>
    <t>167-17-000026</t>
  </si>
  <si>
    <t>Providing Cement concrete road at 5th cross Shastrinagar in Ward No.167</t>
  </si>
  <si>
    <t>167-17-000020</t>
  </si>
  <si>
    <t>Improvements to road side drains at SVroad, Ganesh Mandira road and KS Colony 2nd and 3rd cross of T.R.Nagar 2nd block in Ward No.167</t>
  </si>
  <si>
    <t>167-17-000028</t>
  </si>
  <si>
    <t>Improvements to drains at 16th cross and 7th A main of 3rd block Jayanagar in Ward No.167</t>
  </si>
  <si>
    <t>167-17-000021</t>
  </si>
  <si>
    <t>Providing cement concrete road at Theru street 6th cross 7th cross and 7th B cross of Shastrinagar in Ward No.167</t>
  </si>
  <si>
    <t>167-17-000022</t>
  </si>
  <si>
    <t>Improvements to drains at 2nd main and surroundings of 6th block Jayanagar in Ward No.167</t>
  </si>
  <si>
    <t>K R VINAYAKA</t>
  </si>
  <si>
    <t>167-17-000033</t>
  </si>
  <si>
    <t>Engaging special gangmans for Ward maintanance in Ward No.167</t>
  </si>
  <si>
    <t>R SATISH</t>
  </si>
  <si>
    <t>167-17-000032</t>
  </si>
  <si>
    <t>Depo Collection in Ward No.167</t>
  </si>
  <si>
    <t>167-17-000017</t>
  </si>
  <si>
    <t>Comprehensive development of Ambedkar Park at A K Colony Jayanagara 6th block in ward no 167</t>
  </si>
  <si>
    <t>167-17-000050</t>
  </si>
  <si>
    <t>Construction of Civil works and Display boards for Providing and supplying 14 species of birds and their aviaris, Habitat maintenance under the plan of Banadi Marali Ba Gudige at Yediyur lake park in ward no 167</t>
  </si>
  <si>
    <t>167-17-000025</t>
  </si>
  <si>
    <t>Construction of foundation pedastals for fixing of Statues of Da.Ra.Bendre  Sri.M.Vishweshwaraiah and K.S.Narashimha Swamy in Ward No.167</t>
  </si>
  <si>
    <t>167-19-000044</t>
  </si>
  <si>
    <t>Sinking of New Borewell for drinking water supply and providing control values to existing borewells in ward jurisdiction in ward no.167</t>
  </si>
  <si>
    <t>M/s. Sri Lakshmi Ranganatha Swamy Enterprises, Prop. Sri. B.S. Kirankumar</t>
  </si>
  <si>
    <t>167-17-000060</t>
  </si>
  <si>
    <t>Construction of Multipurpose Office Building Opposite to Yediyur Lake in ward no 167</t>
  </si>
  <si>
    <t>C.N.S Murthy</t>
  </si>
  <si>
    <t>July</t>
  </si>
  <si>
    <t>167-17-000016</t>
  </si>
  <si>
    <t>Desilting and Improvements to storm Water drain in Yediyur ward 167</t>
  </si>
  <si>
    <t>Smt Nandini H S</t>
  </si>
  <si>
    <t>P0541</t>
  </si>
  <si>
    <t>Emergency Reserve Fund</t>
  </si>
  <si>
    <t>167-18-000007</t>
  </si>
  <si>
    <t>Providing pathway Lightings and other Electrical works to the Lakshman Rao Buleward-D Park in ward no 167</t>
  </si>
  <si>
    <t>167-18-000009</t>
  </si>
  <si>
    <t>Providing Focus Liightings to the Statues at Yediyur lake Park in ward no 167</t>
  </si>
  <si>
    <t>M/S Meghana Electricals (Munichamaiah.C)</t>
  </si>
  <si>
    <t>167-18-000023</t>
  </si>
  <si>
    <t>Improvements and repairs to pitching works and other developmental works to Yediyur lake park in ward no 167.</t>
  </si>
  <si>
    <t>M/S Sri Ramanadevi Enterprises (Ashok DC)</t>
  </si>
  <si>
    <t>14th Fin -Maintenance of Cremotorium, Burial Grounds</t>
  </si>
  <si>
    <t>M/s Sheethal Engineering Associates</t>
  </si>
  <si>
    <t>167-18-000003</t>
  </si>
  <si>
    <t>Providing C.C.T.V Cameras in ward no 167</t>
  </si>
  <si>
    <t>167-17-000030</t>
  </si>
  <si>
    <t>Providing Cobble stone pavement and slurry collection pit for Bio-Methonizatiion plant 4th main southend circle in Ward No.167</t>
  </si>
  <si>
    <t>167-16-000063</t>
  </si>
  <si>
    <t>Providing cobble stone pavement to 1st main Shastrinagar in ward no 167</t>
  </si>
  <si>
    <t>167-17-000019</t>
  </si>
  <si>
    <t>Providing and fixing of Street Name boards in Ward Jurisdiction in Ward No.167</t>
  </si>
  <si>
    <t>167-17-000023</t>
  </si>
  <si>
    <t>Providing light roofing over Mahilamandali building at Shastrinagar in Ward No.167</t>
  </si>
  <si>
    <t>August</t>
  </si>
  <si>
    <t>167-16-000038</t>
  </si>
  <si>
    <t>Providing Asphalting to Papu Cottage road and 3rd main from Kariyappa road to Rajarajeshwari temple road Krishnamurthy Layout Sakamma garden in Ward No.167</t>
  </si>
  <si>
    <t>S SATISH</t>
  </si>
  <si>
    <t>167-17-000054</t>
  </si>
  <si>
    <t>Providing cement concrete pavement to conservancy lanes of Basavanagudi area in ward no 167</t>
  </si>
  <si>
    <t>167-17-000055</t>
  </si>
  <si>
    <t>Providing cement concrete to roads at 2nd cross K S Colony and surroundings area 2nd block Thyagarajanagar in ward no 167</t>
  </si>
  <si>
    <t>167-18-000010</t>
  </si>
  <si>
    <t>Providing Children Play Equipments at Yediyur Lake park in ward no 167</t>
  </si>
  <si>
    <t>M/s Toys and Sports</t>
  </si>
  <si>
    <t>167-18-000011</t>
  </si>
  <si>
    <t>Providing Open Gym Equipments to Senior Citizens at Yediyur Lake park in ward no 167</t>
  </si>
  <si>
    <t>M/sToys and Sports</t>
  </si>
  <si>
    <t>September</t>
  </si>
  <si>
    <t>167-18-000026</t>
  </si>
  <si>
    <t>Annual Maintenance of Clock Tower at South End Circle in yediyur ward no 167</t>
  </si>
  <si>
    <t>M/S Step Technologies (Appajappa)</t>
  </si>
  <si>
    <t>P3337</t>
  </si>
  <si>
    <t>Maintenance of lights in parks, buildings, generator, Fountain and CC Camara etc., in ward no 167</t>
  </si>
  <si>
    <t>167-19-000052</t>
  </si>
  <si>
    <t>Construction of deck slab and covering slabs for Storm water drain from 5th C main to MM Bridge road and KR Road to Mahila Mandali building in ward no 167</t>
  </si>
  <si>
    <t>P3297</t>
  </si>
  <si>
    <t>14th Finance Commission Grants - SWD Works</t>
  </si>
  <si>
    <t>167-18-000006</t>
  </si>
  <si>
    <t>Providing cobble stone pathway to the Lakshman Rao Buleward-D Park in ward no 167</t>
  </si>
  <si>
    <t>October</t>
  </si>
  <si>
    <t>S.MANJUNATH</t>
  </si>
  <si>
    <t>167-17-000052</t>
  </si>
  <si>
    <t>Engagement of Gangman and Hiring of Troctor Tippers for cleaning and Maintenance of road side drains and other cleaning works in works in ward no167</t>
  </si>
  <si>
    <t>M/s. Sri Lakhsmi Ranganatha Swamy Enterprises, Prop. Sri. B.S. Kiran Kumar</t>
  </si>
  <si>
    <t>P3110</t>
  </si>
  <si>
    <t>14th Finance Commission Grant Works</t>
  </si>
  <si>
    <t>167-18-000053</t>
  </si>
  <si>
    <t>Repairs and Improvemental works to Library building at 5th main Elephant rock road 3rd block Jayangara in ward no 167</t>
  </si>
  <si>
    <t>M/s. Gunashekar, Shree Devi Enterprises</t>
  </si>
  <si>
    <t>P0583</t>
  </si>
  <si>
    <t>MLA Grant Works</t>
  </si>
  <si>
    <t>167-19-000021</t>
  </si>
  <si>
    <t>Providing RCC covering slabs on half cut hume pipe drain at 2nd cross and other improvemental works in KS colony in ward no 167</t>
  </si>
  <si>
    <t>M/s. Vijay Enterpirses, Prop. Sri. Vijaykumar H</t>
  </si>
  <si>
    <t>P3288</t>
  </si>
  <si>
    <t>Construction of New building for Tailoring, Knitting and Embroidary training centre</t>
  </si>
  <si>
    <t>December</t>
  </si>
  <si>
    <t>167-18-000025</t>
  </si>
  <si>
    <t>Annual Electrical Maintenance of Generators, Fountains, CCTV Cameras Speakers etc in Yediyur ward no 167</t>
  </si>
  <si>
    <t>M/S Sri Chamundeshwari Electricals (Muniraju H.C.))</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</si>
</sst>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tabSelected="1" workbookViewId="0">
      <selection activeCell="A2" sqref="A2:XFD59"/>
    </sheetView>
  </sheetViews>
  <sheetFormatPr defaultRowHeight="14.5" x14ac:dyDescent="0.35"/>
  <cols>
    <col min="1" max="1" width="5" bestFit="1" customWidth="1"/>
    <col min="2" max="2" width="6.26953125" bestFit="1" customWidth="1"/>
    <col min="3" max="3" width="9.54296875" bestFit="1" customWidth="1"/>
    <col min="5" max="5" width="10.36328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5190</v>
      </c>
      <c r="B2" s="5" t="s">
        <v>28</v>
      </c>
      <c r="C2" s="6">
        <v>43567</v>
      </c>
      <c r="D2" s="7">
        <v>167</v>
      </c>
      <c r="E2" s="8" t="s">
        <v>63</v>
      </c>
      <c r="F2" s="7" t="s">
        <v>64</v>
      </c>
      <c r="G2" s="8" t="s">
        <v>65</v>
      </c>
      <c r="H2" s="7" t="str">
        <f>"000012"</f>
        <v>000012</v>
      </c>
      <c r="I2" s="6">
        <v>42825</v>
      </c>
      <c r="J2" s="7" t="str">
        <f>"000012"</f>
        <v>000012</v>
      </c>
      <c r="K2" s="6">
        <v>43595</v>
      </c>
      <c r="L2" s="7" t="str">
        <f>"000013"</f>
        <v>000013</v>
      </c>
      <c r="M2" s="6">
        <v>43595</v>
      </c>
      <c r="N2" s="7">
        <v>16</v>
      </c>
      <c r="O2" s="7" t="str">
        <f>""</f>
        <v/>
      </c>
      <c r="P2" s="6"/>
      <c r="Q2" s="9">
        <v>11.208690000000001</v>
      </c>
      <c r="R2" s="9">
        <v>0.91581000000000001</v>
      </c>
      <c r="S2" s="9">
        <v>10.29288</v>
      </c>
      <c r="T2" s="7">
        <v>17</v>
      </c>
      <c r="U2" s="6">
        <v>43567</v>
      </c>
      <c r="V2" s="7">
        <v>0</v>
      </c>
      <c r="W2" s="8" t="s">
        <v>66</v>
      </c>
      <c r="X2" s="7" t="s">
        <v>38</v>
      </c>
      <c r="Y2" s="8" t="s">
        <v>37</v>
      </c>
      <c r="Z2" s="7" t="s">
        <v>57</v>
      </c>
      <c r="AA2" s="8" t="s">
        <v>58</v>
      </c>
      <c r="AB2" s="9">
        <f t="shared" ref="AB2:AB28" si="0">Q2/100</f>
        <v>0.1120869</v>
      </c>
    </row>
    <row r="3" spans="1:28" x14ac:dyDescent="0.35">
      <c r="A3" s="4">
        <v>5191</v>
      </c>
      <c r="B3" s="5" t="s">
        <v>28</v>
      </c>
      <c r="C3" s="6">
        <v>43571</v>
      </c>
      <c r="D3" s="7">
        <v>167</v>
      </c>
      <c r="E3" s="8" t="s">
        <v>63</v>
      </c>
      <c r="F3" s="7" t="s">
        <v>67</v>
      </c>
      <c r="G3" s="8" t="s">
        <v>68</v>
      </c>
      <c r="H3" s="7" t="str">
        <f>"000017"</f>
        <v>000017</v>
      </c>
      <c r="I3" s="6">
        <v>43147</v>
      </c>
      <c r="J3" s="7" t="str">
        <f>"000023"</f>
        <v>000023</v>
      </c>
      <c r="K3" s="6">
        <v>43502</v>
      </c>
      <c r="L3" s="7" t="str">
        <f>"000283"</f>
        <v>000283</v>
      </c>
      <c r="M3" s="6">
        <v>43502</v>
      </c>
      <c r="N3" s="7">
        <v>18</v>
      </c>
      <c r="O3" s="7" t="str">
        <f>"000472"</f>
        <v>000472</v>
      </c>
      <c r="P3" s="6">
        <v>43567</v>
      </c>
      <c r="Q3" s="9">
        <v>100.29</v>
      </c>
      <c r="R3" s="9">
        <v>3.8976999999999999</v>
      </c>
      <c r="S3" s="9">
        <v>96.392300000000006</v>
      </c>
      <c r="T3" s="7">
        <v>18</v>
      </c>
      <c r="U3" s="6">
        <v>43571</v>
      </c>
      <c r="V3" s="7">
        <v>9845187748</v>
      </c>
      <c r="W3" s="8" t="s">
        <v>69</v>
      </c>
      <c r="X3" s="7" t="s">
        <v>53</v>
      </c>
      <c r="Y3" s="8" t="s">
        <v>54</v>
      </c>
      <c r="Z3" s="7" t="s">
        <v>55</v>
      </c>
      <c r="AA3" s="8" t="s">
        <v>56</v>
      </c>
      <c r="AB3" s="9">
        <f t="shared" si="0"/>
        <v>1.0029000000000001</v>
      </c>
    </row>
    <row r="4" spans="1:28" x14ac:dyDescent="0.35">
      <c r="A4" s="4">
        <v>5192</v>
      </c>
      <c r="B4" s="5" t="s">
        <v>28</v>
      </c>
      <c r="C4" s="6">
        <v>43575</v>
      </c>
      <c r="D4" s="7">
        <v>167</v>
      </c>
      <c r="E4" s="8" t="s">
        <v>63</v>
      </c>
      <c r="F4" s="7" t="s">
        <v>64</v>
      </c>
      <c r="G4" s="8" t="s">
        <v>65</v>
      </c>
      <c r="H4" s="7" t="str">
        <f>"000012"</f>
        <v>000012</v>
      </c>
      <c r="I4" s="6">
        <v>42825</v>
      </c>
      <c r="J4" s="7" t="str">
        <f>"000012"</f>
        <v>000012</v>
      </c>
      <c r="K4" s="6">
        <v>43595</v>
      </c>
      <c r="L4" s="7" t="str">
        <f>"000013"</f>
        <v>000013</v>
      </c>
      <c r="M4" s="6">
        <v>43595</v>
      </c>
      <c r="N4" s="7">
        <v>16</v>
      </c>
      <c r="O4" s="7" t="str">
        <f>""</f>
        <v/>
      </c>
      <c r="P4" s="6"/>
      <c r="Q4" s="9">
        <v>7.0054299999999996</v>
      </c>
      <c r="R4" s="9">
        <v>0.56237999999999999</v>
      </c>
      <c r="S4" s="9">
        <v>6.4430500000000004</v>
      </c>
      <c r="T4" s="7">
        <v>20</v>
      </c>
      <c r="U4" s="6">
        <v>43575</v>
      </c>
      <c r="V4" s="7">
        <v>0</v>
      </c>
      <c r="W4" s="8" t="s">
        <v>66</v>
      </c>
      <c r="X4" s="7" t="s">
        <v>38</v>
      </c>
      <c r="Y4" s="8" t="s">
        <v>37</v>
      </c>
      <c r="Z4" s="7" t="s">
        <v>57</v>
      </c>
      <c r="AA4" s="8" t="s">
        <v>58</v>
      </c>
      <c r="AB4" s="9">
        <f t="shared" si="0"/>
        <v>7.00543E-2</v>
      </c>
    </row>
    <row r="5" spans="1:28" x14ac:dyDescent="0.35">
      <c r="A5" s="4">
        <v>5193</v>
      </c>
      <c r="B5" s="5" t="s">
        <v>28</v>
      </c>
      <c r="C5" s="6">
        <v>43575</v>
      </c>
      <c r="D5" s="7">
        <v>167</v>
      </c>
      <c r="E5" s="8" t="s">
        <v>63</v>
      </c>
      <c r="F5" s="7" t="s">
        <v>70</v>
      </c>
      <c r="G5" s="8" t="s">
        <v>71</v>
      </c>
      <c r="H5" s="7" t="str">
        <f>"000047"</f>
        <v>000047</v>
      </c>
      <c r="I5" s="6">
        <v>42886</v>
      </c>
      <c r="J5" s="7" t="str">
        <f>"000018"</f>
        <v>000018</v>
      </c>
      <c r="K5" s="6">
        <v>43017</v>
      </c>
      <c r="L5" s="7" t="str">
        <f>"000035"</f>
        <v>000035</v>
      </c>
      <c r="M5" s="6">
        <v>43025</v>
      </c>
      <c r="N5" s="7">
        <v>17</v>
      </c>
      <c r="O5" s="7" t="str">
        <f>"000476"</f>
        <v>000476</v>
      </c>
      <c r="P5" s="6">
        <v>43567</v>
      </c>
      <c r="Q5" s="9">
        <v>17.646820000000002</v>
      </c>
      <c r="R5" s="9">
        <v>1.6028199999999999</v>
      </c>
      <c r="S5" s="9">
        <v>16.044</v>
      </c>
      <c r="T5" s="7">
        <v>21</v>
      </c>
      <c r="U5" s="6">
        <v>43575</v>
      </c>
      <c r="V5" s="7">
        <v>9845187748</v>
      </c>
      <c r="W5" s="8" t="s">
        <v>72</v>
      </c>
      <c r="X5" s="7" t="s">
        <v>45</v>
      </c>
      <c r="Y5" s="8" t="s">
        <v>46</v>
      </c>
      <c r="Z5" s="7" t="s">
        <v>61</v>
      </c>
      <c r="AA5" s="8" t="s">
        <v>62</v>
      </c>
      <c r="AB5" s="9">
        <f t="shared" si="0"/>
        <v>0.17646820000000002</v>
      </c>
    </row>
    <row r="6" spans="1:28" x14ac:dyDescent="0.35">
      <c r="A6" s="4">
        <v>5194</v>
      </c>
      <c r="B6" s="5" t="s">
        <v>28</v>
      </c>
      <c r="C6" s="6">
        <v>43575</v>
      </c>
      <c r="D6" s="7">
        <v>167</v>
      </c>
      <c r="E6" s="8" t="s">
        <v>63</v>
      </c>
      <c r="F6" s="7" t="s">
        <v>73</v>
      </c>
      <c r="G6" s="8" t="s">
        <v>74</v>
      </c>
      <c r="H6" s="7" t="str">
        <f>"000118"</f>
        <v>000118</v>
      </c>
      <c r="I6" s="6">
        <v>42825</v>
      </c>
      <c r="J6" s="7" t="str">
        <f>"000019"</f>
        <v>000019</v>
      </c>
      <c r="K6" s="6">
        <v>43017</v>
      </c>
      <c r="L6" s="7" t="str">
        <f>"000036"</f>
        <v>000036</v>
      </c>
      <c r="M6" s="6">
        <v>43025</v>
      </c>
      <c r="N6" s="7">
        <v>17</v>
      </c>
      <c r="O6" s="7" t="str">
        <f>"000477"</f>
        <v>000477</v>
      </c>
      <c r="P6" s="6">
        <v>43567</v>
      </c>
      <c r="Q6" s="9">
        <v>38.109139999999996</v>
      </c>
      <c r="R6" s="9">
        <v>3.6391399999999998</v>
      </c>
      <c r="S6" s="9">
        <v>34.47</v>
      </c>
      <c r="T6" s="7">
        <v>21</v>
      </c>
      <c r="U6" s="6">
        <v>43575</v>
      </c>
      <c r="V6" s="7">
        <v>9845187748</v>
      </c>
      <c r="W6" s="8" t="s">
        <v>75</v>
      </c>
      <c r="X6" s="7" t="s">
        <v>76</v>
      </c>
      <c r="Y6" s="8" t="s">
        <v>77</v>
      </c>
      <c r="Z6" s="7" t="s">
        <v>61</v>
      </c>
      <c r="AA6" s="8" t="s">
        <v>62</v>
      </c>
      <c r="AB6" s="9">
        <f t="shared" si="0"/>
        <v>0.38109139999999997</v>
      </c>
    </row>
    <row r="7" spans="1:28" x14ac:dyDescent="0.35">
      <c r="A7" s="4">
        <v>5195</v>
      </c>
      <c r="B7" s="5" t="s">
        <v>28</v>
      </c>
      <c r="C7" s="6">
        <v>43575</v>
      </c>
      <c r="D7" s="7">
        <v>167</v>
      </c>
      <c r="E7" s="8" t="s">
        <v>63</v>
      </c>
      <c r="F7" s="7" t="s">
        <v>78</v>
      </c>
      <c r="G7" s="8" t="s">
        <v>79</v>
      </c>
      <c r="H7" s="7" t="str">
        <f>"000069"</f>
        <v>000069</v>
      </c>
      <c r="I7" s="6">
        <v>43104</v>
      </c>
      <c r="J7" s="7" t="str">
        <f>"000025"</f>
        <v>000025</v>
      </c>
      <c r="K7" s="6">
        <v>43105</v>
      </c>
      <c r="L7" s="7" t="str">
        <f>"000031"</f>
        <v>000031</v>
      </c>
      <c r="M7" s="6">
        <v>43108</v>
      </c>
      <c r="N7" s="7">
        <v>18</v>
      </c>
      <c r="O7" s="7" t="str">
        <f>"000478"</f>
        <v>000478</v>
      </c>
      <c r="P7" s="6">
        <v>43567</v>
      </c>
      <c r="Q7" s="9">
        <v>53.937199999999997</v>
      </c>
      <c r="R7" s="9">
        <v>6.1976800000000001</v>
      </c>
      <c r="S7" s="9">
        <v>47.739519999999999</v>
      </c>
      <c r="T7" s="7">
        <v>21</v>
      </c>
      <c r="U7" s="6">
        <v>43575</v>
      </c>
      <c r="V7" s="7">
        <v>9845187748</v>
      </c>
      <c r="W7" s="8" t="s">
        <v>80</v>
      </c>
      <c r="X7" s="7" t="s">
        <v>45</v>
      </c>
      <c r="Y7" s="8" t="s">
        <v>46</v>
      </c>
      <c r="Z7" s="7" t="s">
        <v>59</v>
      </c>
      <c r="AA7" s="8" t="s">
        <v>60</v>
      </c>
      <c r="AB7" s="9">
        <f t="shared" si="0"/>
        <v>0.53937199999999996</v>
      </c>
    </row>
    <row r="8" spans="1:28" x14ac:dyDescent="0.35">
      <c r="A8" s="4">
        <v>5196</v>
      </c>
      <c r="B8" s="5" t="s">
        <v>28</v>
      </c>
      <c r="C8" s="6">
        <v>43575</v>
      </c>
      <c r="D8" s="7">
        <v>167</v>
      </c>
      <c r="E8" s="8" t="s">
        <v>63</v>
      </c>
      <c r="F8" s="7" t="s">
        <v>81</v>
      </c>
      <c r="G8" s="8" t="s">
        <v>82</v>
      </c>
      <c r="H8" s="7" t="str">
        <f>"000070"</f>
        <v>000070</v>
      </c>
      <c r="I8" s="6">
        <v>43104</v>
      </c>
      <c r="J8" s="7" t="str">
        <f>"000024"</f>
        <v>000024</v>
      </c>
      <c r="K8" s="6">
        <v>43105</v>
      </c>
      <c r="L8" s="7" t="str">
        <f>"000032"</f>
        <v>000032</v>
      </c>
      <c r="M8" s="6">
        <v>43108</v>
      </c>
      <c r="N8" s="7">
        <v>18</v>
      </c>
      <c r="O8" s="7" t="str">
        <f>"000479"</f>
        <v>000479</v>
      </c>
      <c r="P8" s="6">
        <v>43567</v>
      </c>
      <c r="Q8" s="9">
        <v>20.937100000000001</v>
      </c>
      <c r="R8" s="9">
        <v>2.46468</v>
      </c>
      <c r="S8" s="9">
        <v>18.47242</v>
      </c>
      <c r="T8" s="7">
        <v>21</v>
      </c>
      <c r="U8" s="6">
        <v>43575</v>
      </c>
      <c r="V8" s="7">
        <v>9845187748</v>
      </c>
      <c r="W8" s="8" t="s">
        <v>80</v>
      </c>
      <c r="X8" s="7" t="s">
        <v>45</v>
      </c>
      <c r="Y8" s="8" t="s">
        <v>46</v>
      </c>
      <c r="Z8" s="7" t="s">
        <v>59</v>
      </c>
      <c r="AA8" s="8" t="s">
        <v>60</v>
      </c>
      <c r="AB8" s="9">
        <f t="shared" si="0"/>
        <v>0.209371</v>
      </c>
    </row>
    <row r="9" spans="1:28" x14ac:dyDescent="0.35">
      <c r="A9" s="4">
        <v>5197</v>
      </c>
      <c r="B9" s="5" t="s">
        <v>28</v>
      </c>
      <c r="C9" s="6">
        <v>43578</v>
      </c>
      <c r="D9" s="7">
        <v>167</v>
      </c>
      <c r="E9" s="8" t="s">
        <v>63</v>
      </c>
      <c r="F9" s="7" t="s">
        <v>83</v>
      </c>
      <c r="G9" s="8" t="s">
        <v>84</v>
      </c>
      <c r="H9" s="7" t="str">
        <f>"000189"</f>
        <v>000189</v>
      </c>
      <c r="I9" s="6">
        <v>43518</v>
      </c>
      <c r="J9" s="7" t="str">
        <f>"000107"</f>
        <v>000107</v>
      </c>
      <c r="K9" s="6">
        <v>43554</v>
      </c>
      <c r="L9" s="7" t="str">
        <f>"000217"</f>
        <v>000217</v>
      </c>
      <c r="M9" s="6">
        <v>43554</v>
      </c>
      <c r="N9" s="7">
        <v>19</v>
      </c>
      <c r="O9" s="7" t="str">
        <f>""</f>
        <v/>
      </c>
      <c r="P9" s="6"/>
      <c r="Q9" s="9">
        <v>27.041350000000001</v>
      </c>
      <c r="R9" s="9">
        <v>1.3211599999999999</v>
      </c>
      <c r="S9" s="9">
        <v>25.720189999999999</v>
      </c>
      <c r="T9" s="7">
        <v>24</v>
      </c>
      <c r="U9" s="6">
        <v>43578</v>
      </c>
      <c r="V9" s="7">
        <v>0</v>
      </c>
      <c r="W9" s="8" t="s">
        <v>85</v>
      </c>
      <c r="X9" s="7" t="s">
        <v>47</v>
      </c>
      <c r="Y9" s="8" t="s">
        <v>48</v>
      </c>
      <c r="Z9" s="7" t="s">
        <v>57</v>
      </c>
      <c r="AA9" s="8" t="s">
        <v>58</v>
      </c>
      <c r="AB9" s="9">
        <f t="shared" si="0"/>
        <v>0.27041350000000003</v>
      </c>
    </row>
    <row r="10" spans="1:28" x14ac:dyDescent="0.35">
      <c r="A10" s="4">
        <v>5198</v>
      </c>
      <c r="B10" s="5" t="s">
        <v>28</v>
      </c>
      <c r="C10" s="6">
        <v>43582</v>
      </c>
      <c r="D10" s="7">
        <v>167</v>
      </c>
      <c r="E10" s="8" t="s">
        <v>63</v>
      </c>
      <c r="F10" s="7" t="s">
        <v>86</v>
      </c>
      <c r="G10" s="8" t="s">
        <v>87</v>
      </c>
      <c r="H10" s="7" t="str">
        <f>"000066"</f>
        <v>000066</v>
      </c>
      <c r="I10" s="6">
        <v>41989</v>
      </c>
      <c r="J10" s="7" t="str">
        <f>"000041"</f>
        <v>000041</v>
      </c>
      <c r="K10" s="6">
        <v>43145</v>
      </c>
      <c r="L10" s="7" t="str">
        <f>"000096"</f>
        <v>000096</v>
      </c>
      <c r="M10" s="6">
        <v>43147</v>
      </c>
      <c r="N10" s="7">
        <v>15</v>
      </c>
      <c r="O10" s="7" t="str">
        <f>"001031"</f>
        <v>001031</v>
      </c>
      <c r="P10" s="6">
        <v>43580</v>
      </c>
      <c r="Q10" s="9">
        <v>12.57192</v>
      </c>
      <c r="R10" s="9">
        <v>1.1389199999999999</v>
      </c>
      <c r="S10" s="9">
        <v>11.433</v>
      </c>
      <c r="T10" s="7">
        <v>31</v>
      </c>
      <c r="U10" s="6">
        <v>43582</v>
      </c>
      <c r="V10" s="7">
        <v>9964218400</v>
      </c>
      <c r="W10" s="8" t="s">
        <v>88</v>
      </c>
      <c r="X10" s="7" t="s">
        <v>30</v>
      </c>
      <c r="Y10" s="8" t="s">
        <v>31</v>
      </c>
      <c r="Z10" s="7" t="s">
        <v>61</v>
      </c>
      <c r="AA10" s="8" t="s">
        <v>62</v>
      </c>
      <c r="AB10" s="9">
        <f t="shared" si="0"/>
        <v>0.1257192</v>
      </c>
    </row>
    <row r="11" spans="1:28" x14ac:dyDescent="0.35">
      <c r="A11" s="4">
        <v>5199</v>
      </c>
      <c r="B11" s="5" t="s">
        <v>28</v>
      </c>
      <c r="C11" s="6">
        <v>43582</v>
      </c>
      <c r="D11" s="7">
        <v>167</v>
      </c>
      <c r="E11" s="8" t="s">
        <v>63</v>
      </c>
      <c r="F11" s="7" t="s">
        <v>89</v>
      </c>
      <c r="G11" s="8" t="s">
        <v>90</v>
      </c>
      <c r="H11" s="7" t="str">
        <f>"000140"</f>
        <v>000140</v>
      </c>
      <c r="I11" s="6">
        <v>43122</v>
      </c>
      <c r="J11" s="7" t="str">
        <f>"000108"</f>
        <v>000108</v>
      </c>
      <c r="K11" s="6">
        <v>43147</v>
      </c>
      <c r="L11" s="7" t="str">
        <f>"000106"</f>
        <v>000106</v>
      </c>
      <c r="M11" s="6">
        <v>43147</v>
      </c>
      <c r="N11" s="7">
        <v>18</v>
      </c>
      <c r="O11" s="7" t="str">
        <f>"001034"</f>
        <v>001034</v>
      </c>
      <c r="P11" s="6">
        <v>43580</v>
      </c>
      <c r="Q11" s="9">
        <v>15.228</v>
      </c>
      <c r="R11" s="9">
        <v>0.77663000000000004</v>
      </c>
      <c r="S11" s="9">
        <v>14.451370000000001</v>
      </c>
      <c r="T11" s="7">
        <v>31</v>
      </c>
      <c r="U11" s="6">
        <v>43582</v>
      </c>
      <c r="V11" s="7">
        <v>9448762931</v>
      </c>
      <c r="W11" s="8" t="s">
        <v>91</v>
      </c>
      <c r="X11" s="7" t="s">
        <v>49</v>
      </c>
      <c r="Y11" s="8" t="s">
        <v>50</v>
      </c>
      <c r="Z11" s="7" t="s">
        <v>57</v>
      </c>
      <c r="AA11" s="8" t="s">
        <v>58</v>
      </c>
      <c r="AB11" s="9">
        <f t="shared" si="0"/>
        <v>0.15228</v>
      </c>
    </row>
    <row r="12" spans="1:28" x14ac:dyDescent="0.35">
      <c r="A12" s="4">
        <v>5200</v>
      </c>
      <c r="B12" s="5" t="s">
        <v>28</v>
      </c>
      <c r="C12" s="6">
        <v>43582</v>
      </c>
      <c r="D12" s="7">
        <v>167</v>
      </c>
      <c r="E12" s="8" t="s">
        <v>63</v>
      </c>
      <c r="F12" s="7" t="s">
        <v>92</v>
      </c>
      <c r="G12" s="8" t="s">
        <v>93</v>
      </c>
      <c r="H12" s="7" t="str">
        <f>"000139"</f>
        <v>000139</v>
      </c>
      <c r="I12" s="6">
        <v>43122</v>
      </c>
      <c r="J12" s="7" t="str">
        <f>"000109"</f>
        <v>000109</v>
      </c>
      <c r="K12" s="6">
        <v>43147</v>
      </c>
      <c r="L12" s="7" t="str">
        <f>"000107"</f>
        <v>000107</v>
      </c>
      <c r="M12" s="6">
        <v>43147</v>
      </c>
      <c r="N12" s="7">
        <v>18</v>
      </c>
      <c r="O12" s="7" t="str">
        <f>"001035"</f>
        <v>001035</v>
      </c>
      <c r="P12" s="6">
        <v>43580</v>
      </c>
      <c r="Q12" s="9">
        <v>10.15452</v>
      </c>
      <c r="R12" s="9">
        <v>0.51788000000000001</v>
      </c>
      <c r="S12" s="9">
        <v>9.6366399999999999</v>
      </c>
      <c r="T12" s="7">
        <v>31</v>
      </c>
      <c r="U12" s="6">
        <v>43582</v>
      </c>
      <c r="V12" s="7">
        <v>9448762931</v>
      </c>
      <c r="W12" s="8" t="s">
        <v>91</v>
      </c>
      <c r="X12" s="7" t="s">
        <v>49</v>
      </c>
      <c r="Y12" s="8" t="s">
        <v>50</v>
      </c>
      <c r="Z12" s="7" t="s">
        <v>57</v>
      </c>
      <c r="AA12" s="8" t="s">
        <v>58</v>
      </c>
      <c r="AB12" s="9">
        <f t="shared" si="0"/>
        <v>0.1015452</v>
      </c>
    </row>
    <row r="13" spans="1:28" x14ac:dyDescent="0.35">
      <c r="A13" s="4">
        <v>5201</v>
      </c>
      <c r="B13" s="5" t="s">
        <v>32</v>
      </c>
      <c r="C13" s="6">
        <v>43591</v>
      </c>
      <c r="D13" s="7">
        <v>167</v>
      </c>
      <c r="E13" s="8" t="s">
        <v>63</v>
      </c>
      <c r="F13" s="7" t="s">
        <v>94</v>
      </c>
      <c r="G13" s="8" t="s">
        <v>95</v>
      </c>
      <c r="H13" s="7" t="str">
        <f>"000159"</f>
        <v>000159</v>
      </c>
      <c r="I13" s="6">
        <v>43509</v>
      </c>
      <c r="J13" s="7" t="str">
        <f>"000213"</f>
        <v>000213</v>
      </c>
      <c r="K13" s="6">
        <v>43526</v>
      </c>
      <c r="L13" s="7" t="str">
        <f>"000214"</f>
        <v>000214</v>
      </c>
      <c r="M13" s="6">
        <v>43526</v>
      </c>
      <c r="N13" s="7">
        <v>19</v>
      </c>
      <c r="O13" s="7" t="str">
        <f>"001086"</f>
        <v>001086</v>
      </c>
      <c r="P13" s="6">
        <v>43581</v>
      </c>
      <c r="Q13" s="9">
        <v>25.492229999999999</v>
      </c>
      <c r="R13" s="9">
        <v>1.2454700000000001</v>
      </c>
      <c r="S13" s="9">
        <v>24.246759999999998</v>
      </c>
      <c r="T13" s="7">
        <v>35</v>
      </c>
      <c r="U13" s="6">
        <v>43591</v>
      </c>
      <c r="V13" s="7">
        <v>0</v>
      </c>
      <c r="W13" s="8" t="s">
        <v>96</v>
      </c>
      <c r="X13" s="7" t="s">
        <v>51</v>
      </c>
      <c r="Y13" s="8" t="s">
        <v>52</v>
      </c>
      <c r="Z13" s="7" t="s">
        <v>57</v>
      </c>
      <c r="AA13" s="8" t="s">
        <v>58</v>
      </c>
      <c r="AB13" s="9">
        <f t="shared" si="0"/>
        <v>0.25492229999999999</v>
      </c>
    </row>
    <row r="14" spans="1:28" x14ac:dyDescent="0.35">
      <c r="A14" s="4">
        <v>5202</v>
      </c>
      <c r="B14" s="5" t="s">
        <v>32</v>
      </c>
      <c r="C14" s="6">
        <v>43591</v>
      </c>
      <c r="D14" s="7">
        <v>167</v>
      </c>
      <c r="E14" s="8" t="s">
        <v>63</v>
      </c>
      <c r="F14" s="7" t="s">
        <v>97</v>
      </c>
      <c r="G14" s="8" t="s">
        <v>98</v>
      </c>
      <c r="H14" s="7" t="str">
        <f>"000151"</f>
        <v>000151</v>
      </c>
      <c r="I14" s="6">
        <v>43494</v>
      </c>
      <c r="J14" s="7" t="str">
        <f>"000098"</f>
        <v>000098</v>
      </c>
      <c r="K14" s="6">
        <v>43540</v>
      </c>
      <c r="L14" s="7" t="str">
        <f>"000206"</f>
        <v>000206</v>
      </c>
      <c r="M14" s="6">
        <v>43542</v>
      </c>
      <c r="N14" s="7">
        <v>19</v>
      </c>
      <c r="O14" s="7" t="str">
        <f>"001094"</f>
        <v>001094</v>
      </c>
      <c r="P14" s="6">
        <v>43581</v>
      </c>
      <c r="Q14" s="9">
        <v>12.980829999999999</v>
      </c>
      <c r="R14" s="9">
        <v>1.23583</v>
      </c>
      <c r="S14" s="9">
        <v>11.744999999999999</v>
      </c>
      <c r="T14" s="7">
        <v>35</v>
      </c>
      <c r="U14" s="6">
        <v>43591</v>
      </c>
      <c r="V14" s="7">
        <v>9880866688</v>
      </c>
      <c r="W14" s="8" t="s">
        <v>99</v>
      </c>
      <c r="X14" s="7" t="s">
        <v>35</v>
      </c>
      <c r="Y14" s="8" t="s">
        <v>36</v>
      </c>
      <c r="Z14" s="7" t="s">
        <v>61</v>
      </c>
      <c r="AA14" s="8" t="s">
        <v>62</v>
      </c>
      <c r="AB14" s="9">
        <f t="shared" si="0"/>
        <v>0.12980829999999999</v>
      </c>
    </row>
    <row r="15" spans="1:28" x14ac:dyDescent="0.35">
      <c r="A15" s="4">
        <v>5203</v>
      </c>
      <c r="B15" s="5" t="s">
        <v>32</v>
      </c>
      <c r="C15" s="6">
        <v>43591</v>
      </c>
      <c r="D15" s="7">
        <v>167</v>
      </c>
      <c r="E15" s="8" t="s">
        <v>63</v>
      </c>
      <c r="F15" s="7" t="s">
        <v>100</v>
      </c>
      <c r="G15" s="8" t="s">
        <v>101</v>
      </c>
      <c r="H15" s="7" t="str">
        <f>"000142"</f>
        <v>000142</v>
      </c>
      <c r="I15" s="6">
        <v>43469</v>
      </c>
      <c r="J15" s="7" t="str">
        <f>"000099"</f>
        <v>000099</v>
      </c>
      <c r="K15" s="6">
        <v>43540</v>
      </c>
      <c r="L15" s="7" t="str">
        <f>"000207"</f>
        <v>000207</v>
      </c>
      <c r="M15" s="6">
        <v>43542</v>
      </c>
      <c r="N15" s="7">
        <v>19</v>
      </c>
      <c r="O15" s="7" t="str">
        <f>"001095"</f>
        <v>001095</v>
      </c>
      <c r="P15" s="6">
        <v>43581</v>
      </c>
      <c r="Q15" s="9">
        <v>12.98738</v>
      </c>
      <c r="R15" s="9">
        <v>1.2743800000000001</v>
      </c>
      <c r="S15" s="9">
        <v>11.712999999999999</v>
      </c>
      <c r="T15" s="7">
        <v>35</v>
      </c>
      <c r="U15" s="6">
        <v>43591</v>
      </c>
      <c r="V15" s="7">
        <v>9880866688</v>
      </c>
      <c r="W15" s="8" t="s">
        <v>99</v>
      </c>
      <c r="X15" s="7" t="s">
        <v>43</v>
      </c>
      <c r="Y15" s="8" t="s">
        <v>44</v>
      </c>
      <c r="Z15" s="7" t="s">
        <v>61</v>
      </c>
      <c r="AA15" s="8" t="s">
        <v>62</v>
      </c>
      <c r="AB15" s="9">
        <f t="shared" si="0"/>
        <v>0.12987380000000001</v>
      </c>
    </row>
    <row r="16" spans="1:28" x14ac:dyDescent="0.35">
      <c r="A16" s="4">
        <v>5204</v>
      </c>
      <c r="B16" s="5" t="s">
        <v>32</v>
      </c>
      <c r="C16" s="6">
        <v>43591</v>
      </c>
      <c r="D16" s="7">
        <v>167</v>
      </c>
      <c r="E16" s="8" t="s">
        <v>63</v>
      </c>
      <c r="F16" s="7" t="s">
        <v>102</v>
      </c>
      <c r="G16" s="8" t="s">
        <v>103</v>
      </c>
      <c r="H16" s="7" t="str">
        <f>"000143"</f>
        <v>000143</v>
      </c>
      <c r="I16" s="6">
        <v>43469</v>
      </c>
      <c r="J16" s="7" t="str">
        <f>"000100"</f>
        <v>000100</v>
      </c>
      <c r="K16" s="6">
        <v>43540</v>
      </c>
      <c r="L16" s="7" t="str">
        <f>"000208"</f>
        <v>000208</v>
      </c>
      <c r="M16" s="6">
        <v>43542</v>
      </c>
      <c r="N16" s="7">
        <v>19</v>
      </c>
      <c r="O16" s="7" t="str">
        <f>"001096"</f>
        <v>001096</v>
      </c>
      <c r="P16" s="6">
        <v>43581</v>
      </c>
      <c r="Q16" s="9">
        <v>11.329269999999999</v>
      </c>
      <c r="R16" s="9">
        <v>1.0072700000000001</v>
      </c>
      <c r="S16" s="9">
        <v>10.321999999999999</v>
      </c>
      <c r="T16" s="7">
        <v>35</v>
      </c>
      <c r="U16" s="6">
        <v>43591</v>
      </c>
      <c r="V16" s="7">
        <v>9880866688</v>
      </c>
      <c r="W16" s="8" t="s">
        <v>99</v>
      </c>
      <c r="X16" s="7" t="s">
        <v>41</v>
      </c>
      <c r="Y16" s="8" t="s">
        <v>42</v>
      </c>
      <c r="Z16" s="7" t="s">
        <v>61</v>
      </c>
      <c r="AA16" s="8" t="s">
        <v>62</v>
      </c>
      <c r="AB16" s="9">
        <f t="shared" si="0"/>
        <v>0.1132927</v>
      </c>
    </row>
    <row r="17" spans="1:28" x14ac:dyDescent="0.35">
      <c r="A17" s="4">
        <v>5205</v>
      </c>
      <c r="B17" s="5" t="s">
        <v>32</v>
      </c>
      <c r="C17" s="6">
        <v>43591</v>
      </c>
      <c r="D17" s="7">
        <v>167</v>
      </c>
      <c r="E17" s="8" t="s">
        <v>63</v>
      </c>
      <c r="F17" s="7" t="s">
        <v>104</v>
      </c>
      <c r="G17" s="8" t="s">
        <v>105</v>
      </c>
      <c r="H17" s="7" t="str">
        <f>"000248"</f>
        <v>000248</v>
      </c>
      <c r="I17" s="6">
        <v>41660</v>
      </c>
      <c r="J17" s="7" t="str">
        <f>"000001"</f>
        <v>000001</v>
      </c>
      <c r="K17" s="6">
        <v>42955</v>
      </c>
      <c r="L17" s="7" t="str">
        <f>"000001"</f>
        <v>000001</v>
      </c>
      <c r="M17" s="6">
        <v>42965</v>
      </c>
      <c r="N17" s="7">
        <v>14</v>
      </c>
      <c r="O17" s="7" t="str">
        <f>"001281"</f>
        <v>001281</v>
      </c>
      <c r="P17" s="6">
        <v>43587</v>
      </c>
      <c r="Q17" s="9">
        <v>15.24119</v>
      </c>
      <c r="R17" s="9">
        <v>2.0951900000000001</v>
      </c>
      <c r="S17" s="9">
        <v>13.146000000000001</v>
      </c>
      <c r="T17" s="7">
        <v>37</v>
      </c>
      <c r="U17" s="6">
        <v>43591</v>
      </c>
      <c r="V17" s="7">
        <v>9986697126</v>
      </c>
      <c r="W17" s="8" t="s">
        <v>106</v>
      </c>
      <c r="X17" s="7" t="s">
        <v>30</v>
      </c>
      <c r="Y17" s="8" t="s">
        <v>31</v>
      </c>
      <c r="Z17" s="7" t="s">
        <v>61</v>
      </c>
      <c r="AA17" s="8" t="s">
        <v>62</v>
      </c>
      <c r="AB17" s="9">
        <f t="shared" si="0"/>
        <v>0.15241189999999999</v>
      </c>
    </row>
    <row r="18" spans="1:28" x14ac:dyDescent="0.35">
      <c r="A18" s="4">
        <v>5206</v>
      </c>
      <c r="B18" s="5" t="s">
        <v>32</v>
      </c>
      <c r="C18" s="6">
        <v>43603</v>
      </c>
      <c r="D18" s="7">
        <v>167</v>
      </c>
      <c r="E18" s="8" t="s">
        <v>63</v>
      </c>
      <c r="F18" s="7" t="s">
        <v>107</v>
      </c>
      <c r="G18" s="8" t="s">
        <v>108</v>
      </c>
      <c r="H18" s="7" t="str">
        <f>"000066"</f>
        <v>000066</v>
      </c>
      <c r="I18" s="6">
        <v>42797</v>
      </c>
      <c r="J18" s="7" t="str">
        <f>"000013"</f>
        <v>000013</v>
      </c>
      <c r="K18" s="6">
        <v>43017</v>
      </c>
      <c r="L18" s="7" t="str">
        <f>"000030"</f>
        <v>000030</v>
      </c>
      <c r="M18" s="6">
        <v>43025</v>
      </c>
      <c r="N18" s="7">
        <v>17</v>
      </c>
      <c r="O18" s="7" t="str">
        <f>"001711"</f>
        <v>001711</v>
      </c>
      <c r="P18" s="6">
        <v>43602</v>
      </c>
      <c r="Q18" s="9">
        <v>20.759080000000001</v>
      </c>
      <c r="R18" s="9">
        <v>2.0740799999999999</v>
      </c>
      <c r="S18" s="9">
        <v>18.684999999999999</v>
      </c>
      <c r="T18" s="7">
        <v>50</v>
      </c>
      <c r="U18" s="6">
        <v>43603</v>
      </c>
      <c r="V18" s="7">
        <v>9945088804</v>
      </c>
      <c r="W18" s="8" t="s">
        <v>109</v>
      </c>
      <c r="X18" s="7" t="s">
        <v>30</v>
      </c>
      <c r="Y18" s="8" t="s">
        <v>31</v>
      </c>
      <c r="Z18" s="7" t="s">
        <v>61</v>
      </c>
      <c r="AA18" s="8" t="s">
        <v>62</v>
      </c>
      <c r="AB18" s="9">
        <f t="shared" si="0"/>
        <v>0.20759080000000002</v>
      </c>
    </row>
    <row r="19" spans="1:28" x14ac:dyDescent="0.35">
      <c r="A19" s="4">
        <v>5207</v>
      </c>
      <c r="B19" s="5" t="s">
        <v>32</v>
      </c>
      <c r="C19" s="6">
        <v>43603</v>
      </c>
      <c r="D19" s="7">
        <v>167</v>
      </c>
      <c r="E19" s="8" t="s">
        <v>63</v>
      </c>
      <c r="F19" s="7" t="s">
        <v>110</v>
      </c>
      <c r="G19" s="8" t="s">
        <v>111</v>
      </c>
      <c r="H19" s="7" t="str">
        <f>"000068"</f>
        <v>000068</v>
      </c>
      <c r="I19" s="6">
        <v>42797</v>
      </c>
      <c r="J19" s="7" t="str">
        <f>"000014"</f>
        <v>000014</v>
      </c>
      <c r="K19" s="6">
        <v>43017</v>
      </c>
      <c r="L19" s="7" t="str">
        <f>"000031"</f>
        <v>000031</v>
      </c>
      <c r="M19" s="6">
        <v>43025</v>
      </c>
      <c r="N19" s="7">
        <v>17</v>
      </c>
      <c r="O19" s="7" t="str">
        <f>"001712"</f>
        <v>001712</v>
      </c>
      <c r="P19" s="6">
        <v>43602</v>
      </c>
      <c r="Q19" s="9">
        <v>12.461360000000001</v>
      </c>
      <c r="R19" s="9">
        <v>1.2933600000000001</v>
      </c>
      <c r="S19" s="9">
        <v>11.167999999999999</v>
      </c>
      <c r="T19" s="7">
        <v>50</v>
      </c>
      <c r="U19" s="6">
        <v>43603</v>
      </c>
      <c r="V19" s="7">
        <v>9945088804</v>
      </c>
      <c r="W19" s="8" t="s">
        <v>109</v>
      </c>
      <c r="X19" s="7" t="s">
        <v>30</v>
      </c>
      <c r="Y19" s="8" t="s">
        <v>31</v>
      </c>
      <c r="Z19" s="7" t="s">
        <v>61</v>
      </c>
      <c r="AA19" s="8" t="s">
        <v>62</v>
      </c>
      <c r="AB19" s="9">
        <f t="shared" si="0"/>
        <v>0.1246136</v>
      </c>
    </row>
    <row r="20" spans="1:28" x14ac:dyDescent="0.35">
      <c r="A20" s="4">
        <v>5208</v>
      </c>
      <c r="B20" s="5" t="s">
        <v>32</v>
      </c>
      <c r="C20" s="6">
        <v>43603</v>
      </c>
      <c r="D20" s="7">
        <v>167</v>
      </c>
      <c r="E20" s="8" t="s">
        <v>63</v>
      </c>
      <c r="F20" s="7" t="s">
        <v>112</v>
      </c>
      <c r="G20" s="8" t="s">
        <v>113</v>
      </c>
      <c r="H20" s="7" t="str">
        <f>"000062"</f>
        <v>000062</v>
      </c>
      <c r="I20" s="6">
        <v>42797</v>
      </c>
      <c r="J20" s="7" t="str">
        <f>"000015"</f>
        <v>000015</v>
      </c>
      <c r="K20" s="6">
        <v>43017</v>
      </c>
      <c r="L20" s="7" t="str">
        <f>"000032"</f>
        <v>000032</v>
      </c>
      <c r="M20" s="6">
        <v>43025</v>
      </c>
      <c r="N20" s="7">
        <v>17</v>
      </c>
      <c r="O20" s="7" t="str">
        <f>"001713"</f>
        <v>001713</v>
      </c>
      <c r="P20" s="6">
        <v>43602</v>
      </c>
      <c r="Q20" s="9">
        <v>15.574579999999999</v>
      </c>
      <c r="R20" s="9">
        <v>1.5745800000000001</v>
      </c>
      <c r="S20" s="9">
        <v>14</v>
      </c>
      <c r="T20" s="7">
        <v>50</v>
      </c>
      <c r="U20" s="6">
        <v>43603</v>
      </c>
      <c r="V20" s="7">
        <v>9945088804</v>
      </c>
      <c r="W20" s="8" t="s">
        <v>109</v>
      </c>
      <c r="X20" s="7" t="s">
        <v>30</v>
      </c>
      <c r="Y20" s="8" t="s">
        <v>31</v>
      </c>
      <c r="Z20" s="7" t="s">
        <v>61</v>
      </c>
      <c r="AA20" s="8" t="s">
        <v>62</v>
      </c>
      <c r="AB20" s="9">
        <f t="shared" si="0"/>
        <v>0.15574579999999999</v>
      </c>
    </row>
    <row r="21" spans="1:28" x14ac:dyDescent="0.35">
      <c r="A21" s="4">
        <v>5209</v>
      </c>
      <c r="B21" s="5" t="s">
        <v>32</v>
      </c>
      <c r="C21" s="6">
        <v>43603</v>
      </c>
      <c r="D21" s="7">
        <v>167</v>
      </c>
      <c r="E21" s="8" t="s">
        <v>63</v>
      </c>
      <c r="F21" s="7" t="s">
        <v>114</v>
      </c>
      <c r="G21" s="8" t="s">
        <v>115</v>
      </c>
      <c r="H21" s="7" t="str">
        <f>"000070"</f>
        <v>000070</v>
      </c>
      <c r="I21" s="6">
        <v>42797</v>
      </c>
      <c r="J21" s="7" t="str">
        <f>"000016"</f>
        <v>000016</v>
      </c>
      <c r="K21" s="6">
        <v>43017</v>
      </c>
      <c r="L21" s="7" t="str">
        <f>"000033"</f>
        <v>000033</v>
      </c>
      <c r="M21" s="6">
        <v>43025</v>
      </c>
      <c r="N21" s="7">
        <v>17</v>
      </c>
      <c r="O21" s="7" t="str">
        <f>"001714"</f>
        <v>001714</v>
      </c>
      <c r="P21" s="6">
        <v>43602</v>
      </c>
      <c r="Q21" s="9">
        <v>25.948399999999999</v>
      </c>
      <c r="R21" s="9">
        <v>2.5853999999999999</v>
      </c>
      <c r="S21" s="9">
        <v>23.363</v>
      </c>
      <c r="T21" s="7">
        <v>50</v>
      </c>
      <c r="U21" s="6">
        <v>43603</v>
      </c>
      <c r="V21" s="7">
        <v>9945088804</v>
      </c>
      <c r="W21" s="8" t="s">
        <v>109</v>
      </c>
      <c r="X21" s="7" t="s">
        <v>30</v>
      </c>
      <c r="Y21" s="8" t="s">
        <v>31</v>
      </c>
      <c r="Z21" s="7" t="s">
        <v>61</v>
      </c>
      <c r="AA21" s="8" t="s">
        <v>62</v>
      </c>
      <c r="AB21" s="9">
        <f t="shared" si="0"/>
        <v>0.25948399999999999</v>
      </c>
    </row>
    <row r="22" spans="1:28" x14ac:dyDescent="0.35">
      <c r="A22" s="4">
        <v>5210</v>
      </c>
      <c r="B22" s="5" t="s">
        <v>32</v>
      </c>
      <c r="C22" s="6">
        <v>43603</v>
      </c>
      <c r="D22" s="7">
        <v>167</v>
      </c>
      <c r="E22" s="8" t="s">
        <v>63</v>
      </c>
      <c r="F22" s="7" t="s">
        <v>116</v>
      </c>
      <c r="G22" s="8" t="s">
        <v>117</v>
      </c>
      <c r="H22" s="7" t="str">
        <f>"000063"</f>
        <v>000063</v>
      </c>
      <c r="I22" s="6">
        <v>42797</v>
      </c>
      <c r="J22" s="7" t="str">
        <f>"000017"</f>
        <v>000017</v>
      </c>
      <c r="K22" s="6">
        <v>43017</v>
      </c>
      <c r="L22" s="7" t="str">
        <f>"000034"</f>
        <v>000034</v>
      </c>
      <c r="M22" s="6">
        <v>43025</v>
      </c>
      <c r="N22" s="7">
        <v>17</v>
      </c>
      <c r="O22" s="7" t="str">
        <f>"001715"</f>
        <v>001715</v>
      </c>
      <c r="P22" s="6">
        <v>43602</v>
      </c>
      <c r="Q22" s="9">
        <v>15.577590000000001</v>
      </c>
      <c r="R22" s="9">
        <v>1.57759</v>
      </c>
      <c r="S22" s="9">
        <v>14</v>
      </c>
      <c r="T22" s="7">
        <v>50</v>
      </c>
      <c r="U22" s="6">
        <v>43603</v>
      </c>
      <c r="V22" s="7">
        <v>9945088804</v>
      </c>
      <c r="W22" s="8" t="s">
        <v>109</v>
      </c>
      <c r="X22" s="7" t="s">
        <v>30</v>
      </c>
      <c r="Y22" s="8" t="s">
        <v>31</v>
      </c>
      <c r="Z22" s="7" t="s">
        <v>61</v>
      </c>
      <c r="AA22" s="8" t="s">
        <v>62</v>
      </c>
      <c r="AB22" s="9">
        <f t="shared" si="0"/>
        <v>0.15577589999999999</v>
      </c>
    </row>
    <row r="23" spans="1:28" x14ac:dyDescent="0.35">
      <c r="A23" s="4">
        <v>5211</v>
      </c>
      <c r="B23" s="5" t="s">
        <v>32</v>
      </c>
      <c r="C23" s="6">
        <v>43603</v>
      </c>
      <c r="D23" s="7">
        <v>167</v>
      </c>
      <c r="E23" s="8" t="s">
        <v>63</v>
      </c>
      <c r="F23" s="7" t="s">
        <v>118</v>
      </c>
      <c r="G23" s="8" t="s">
        <v>119</v>
      </c>
      <c r="H23" s="7" t="str">
        <f>"000064"</f>
        <v>000064</v>
      </c>
      <c r="I23" s="6">
        <v>42797</v>
      </c>
      <c r="J23" s="7" t="str">
        <f>"000020"</f>
        <v>000020</v>
      </c>
      <c r="K23" s="6">
        <v>43017</v>
      </c>
      <c r="L23" s="7" t="str">
        <f>"000037"</f>
        <v>000037</v>
      </c>
      <c r="M23" s="6">
        <v>43025</v>
      </c>
      <c r="N23" s="7">
        <v>17</v>
      </c>
      <c r="O23" s="7" t="str">
        <f>"001716"</f>
        <v>001716</v>
      </c>
      <c r="P23" s="6">
        <v>43602</v>
      </c>
      <c r="Q23" s="9">
        <v>10.3711</v>
      </c>
      <c r="R23" s="9">
        <v>1.0530999999999999</v>
      </c>
      <c r="S23" s="9">
        <v>9.3179999999999996</v>
      </c>
      <c r="T23" s="7">
        <v>50</v>
      </c>
      <c r="U23" s="6">
        <v>43603</v>
      </c>
      <c r="V23" s="7">
        <v>9738461992</v>
      </c>
      <c r="W23" s="8" t="s">
        <v>120</v>
      </c>
      <c r="X23" s="7" t="s">
        <v>30</v>
      </c>
      <c r="Y23" s="8" t="s">
        <v>31</v>
      </c>
      <c r="Z23" s="7" t="s">
        <v>61</v>
      </c>
      <c r="AA23" s="8" t="s">
        <v>62</v>
      </c>
      <c r="AB23" s="9">
        <f t="shared" si="0"/>
        <v>0.103711</v>
      </c>
    </row>
    <row r="24" spans="1:28" x14ac:dyDescent="0.35">
      <c r="A24" s="4">
        <v>5212</v>
      </c>
      <c r="B24" s="5" t="s">
        <v>32</v>
      </c>
      <c r="C24" s="6">
        <v>43603</v>
      </c>
      <c r="D24" s="7">
        <v>167</v>
      </c>
      <c r="E24" s="8" t="s">
        <v>63</v>
      </c>
      <c r="F24" s="7" t="s">
        <v>121</v>
      </c>
      <c r="G24" s="8" t="s">
        <v>122</v>
      </c>
      <c r="H24" s="7" t="str">
        <f>"000074"</f>
        <v>000074</v>
      </c>
      <c r="I24" s="6">
        <v>42797</v>
      </c>
      <c r="J24" s="7" t="str">
        <f>"000025"</f>
        <v>000025</v>
      </c>
      <c r="K24" s="6">
        <v>43019</v>
      </c>
      <c r="L24" s="7" t="str">
        <f>"000042"</f>
        <v>000042</v>
      </c>
      <c r="M24" s="6">
        <v>43025</v>
      </c>
      <c r="N24" s="7">
        <v>17</v>
      </c>
      <c r="O24" s="7" t="str">
        <f>"001718"</f>
        <v>001718</v>
      </c>
      <c r="P24" s="6">
        <v>43602</v>
      </c>
      <c r="Q24" s="9">
        <v>5.2256</v>
      </c>
      <c r="R24" s="9">
        <v>0.47360000000000002</v>
      </c>
      <c r="S24" s="9">
        <v>4.7519999999999998</v>
      </c>
      <c r="T24" s="7">
        <v>50</v>
      </c>
      <c r="U24" s="6">
        <v>43603</v>
      </c>
      <c r="V24" s="7">
        <v>9880866688</v>
      </c>
      <c r="W24" s="8" t="s">
        <v>123</v>
      </c>
      <c r="X24" s="7" t="s">
        <v>30</v>
      </c>
      <c r="Y24" s="8" t="s">
        <v>31</v>
      </c>
      <c r="Z24" s="7" t="s">
        <v>61</v>
      </c>
      <c r="AA24" s="8" t="s">
        <v>62</v>
      </c>
      <c r="AB24" s="9">
        <f t="shared" si="0"/>
        <v>5.2255999999999997E-2</v>
      </c>
    </row>
    <row r="25" spans="1:28" x14ac:dyDescent="0.35">
      <c r="A25" s="4">
        <v>5213</v>
      </c>
      <c r="B25" s="5" t="s">
        <v>32</v>
      </c>
      <c r="C25" s="6">
        <v>43609</v>
      </c>
      <c r="D25" s="7">
        <v>167</v>
      </c>
      <c r="E25" s="8" t="s">
        <v>63</v>
      </c>
      <c r="F25" s="7" t="s">
        <v>124</v>
      </c>
      <c r="G25" s="8" t="s">
        <v>125</v>
      </c>
      <c r="H25" s="7" t="str">
        <f>"000073"</f>
        <v>000073</v>
      </c>
      <c r="I25" s="6">
        <v>42797</v>
      </c>
      <c r="J25" s="7" t="str">
        <f>"000026"</f>
        <v>000026</v>
      </c>
      <c r="K25" s="6">
        <v>43024</v>
      </c>
      <c r="L25" s="7" t="str">
        <f>"000044"</f>
        <v>000044</v>
      </c>
      <c r="M25" s="6">
        <v>43039</v>
      </c>
      <c r="N25" s="7">
        <v>17</v>
      </c>
      <c r="O25" s="7" t="str">
        <f>"001942"</f>
        <v>001942</v>
      </c>
      <c r="P25" s="6">
        <v>43607</v>
      </c>
      <c r="Q25" s="9">
        <v>5.1910499999999997</v>
      </c>
      <c r="R25" s="9">
        <v>0.57104999999999995</v>
      </c>
      <c r="S25" s="9">
        <v>4.62</v>
      </c>
      <c r="T25" s="7">
        <v>57</v>
      </c>
      <c r="U25" s="6">
        <v>43609</v>
      </c>
      <c r="V25" s="7">
        <v>9880866688</v>
      </c>
      <c r="W25" s="8" t="s">
        <v>123</v>
      </c>
      <c r="X25" s="7" t="s">
        <v>30</v>
      </c>
      <c r="Y25" s="8" t="s">
        <v>31</v>
      </c>
      <c r="Z25" s="7" t="s">
        <v>61</v>
      </c>
      <c r="AA25" s="8" t="s">
        <v>62</v>
      </c>
      <c r="AB25" s="9">
        <f t="shared" si="0"/>
        <v>5.1910499999999998E-2</v>
      </c>
    </row>
    <row r="26" spans="1:28" x14ac:dyDescent="0.35">
      <c r="A26" s="4">
        <v>5214</v>
      </c>
      <c r="B26" s="5" t="s">
        <v>32</v>
      </c>
      <c r="C26" s="6">
        <v>43610</v>
      </c>
      <c r="D26" s="7">
        <v>167</v>
      </c>
      <c r="E26" s="8" t="s">
        <v>63</v>
      </c>
      <c r="F26" s="7" t="s">
        <v>83</v>
      </c>
      <c r="G26" s="8" t="s">
        <v>84</v>
      </c>
      <c r="H26" s="7" t="str">
        <f>"000189"</f>
        <v>000189</v>
      </c>
      <c r="I26" s="6">
        <v>43518</v>
      </c>
      <c r="J26" s="7" t="str">
        <f>"000107"</f>
        <v>000107</v>
      </c>
      <c r="K26" s="6">
        <v>43554</v>
      </c>
      <c r="L26" s="7" t="str">
        <f>"000217"</f>
        <v>000217</v>
      </c>
      <c r="M26" s="6">
        <v>43554</v>
      </c>
      <c r="N26" s="7">
        <v>19</v>
      </c>
      <c r="O26" s="7" t="str">
        <f>"001851"</f>
        <v>001851</v>
      </c>
      <c r="P26" s="6">
        <v>43606</v>
      </c>
      <c r="Q26" s="9">
        <v>11.941090000000001</v>
      </c>
      <c r="R26" s="9">
        <v>1.13809</v>
      </c>
      <c r="S26" s="9">
        <v>10.803000000000001</v>
      </c>
      <c r="T26" s="7">
        <v>58</v>
      </c>
      <c r="U26" s="6">
        <v>43610</v>
      </c>
      <c r="V26" s="7">
        <v>9880866688</v>
      </c>
      <c r="W26" s="8" t="s">
        <v>99</v>
      </c>
      <c r="X26" s="7" t="s">
        <v>47</v>
      </c>
      <c r="Y26" s="8" t="s">
        <v>48</v>
      </c>
      <c r="Z26" s="7" t="s">
        <v>61</v>
      </c>
      <c r="AA26" s="8" t="s">
        <v>62</v>
      </c>
      <c r="AB26" s="9">
        <f t="shared" si="0"/>
        <v>0.11941090000000001</v>
      </c>
    </row>
    <row r="27" spans="1:28" x14ac:dyDescent="0.35">
      <c r="A27" s="4">
        <v>5215</v>
      </c>
      <c r="B27" s="5" t="s">
        <v>32</v>
      </c>
      <c r="C27" s="6">
        <v>43610</v>
      </c>
      <c r="D27" s="7">
        <v>167</v>
      </c>
      <c r="E27" s="8" t="s">
        <v>63</v>
      </c>
      <c r="F27" s="7" t="s">
        <v>126</v>
      </c>
      <c r="G27" s="8" t="s">
        <v>127</v>
      </c>
      <c r="H27" s="7" t="str">
        <f>"000117"</f>
        <v>000117</v>
      </c>
      <c r="I27" s="6">
        <v>42825</v>
      </c>
      <c r="J27" s="7" t="str">
        <f>"000058"</f>
        <v>000058</v>
      </c>
      <c r="K27" s="6">
        <v>43158</v>
      </c>
      <c r="L27" s="7" t="str">
        <f>"000141"</f>
        <v>000141</v>
      </c>
      <c r="M27" s="6">
        <v>43159</v>
      </c>
      <c r="N27" s="7">
        <v>17</v>
      </c>
      <c r="O27" s="7" t="str">
        <f>"002011"</f>
        <v>002011</v>
      </c>
      <c r="P27" s="6">
        <v>43608</v>
      </c>
      <c r="Q27" s="9">
        <v>54.567149999999998</v>
      </c>
      <c r="R27" s="9">
        <v>5.41615</v>
      </c>
      <c r="S27" s="9">
        <v>49.151000000000003</v>
      </c>
      <c r="T27" s="7">
        <v>59</v>
      </c>
      <c r="U27" s="6">
        <v>43610</v>
      </c>
      <c r="V27" s="7">
        <v>9845187748</v>
      </c>
      <c r="W27" s="8" t="s">
        <v>75</v>
      </c>
      <c r="X27" s="7" t="s">
        <v>33</v>
      </c>
      <c r="Y27" s="8" t="s">
        <v>34</v>
      </c>
      <c r="Z27" s="7" t="s">
        <v>61</v>
      </c>
      <c r="AA27" s="8" t="s">
        <v>62</v>
      </c>
      <c r="AB27" s="9">
        <f t="shared" si="0"/>
        <v>0.54567149999999998</v>
      </c>
    </row>
    <row r="28" spans="1:28" x14ac:dyDescent="0.35">
      <c r="A28" s="4">
        <v>5216</v>
      </c>
      <c r="B28" s="5" t="s">
        <v>32</v>
      </c>
      <c r="C28" s="6">
        <v>43610</v>
      </c>
      <c r="D28" s="7">
        <v>167</v>
      </c>
      <c r="E28" s="8" t="s">
        <v>63</v>
      </c>
      <c r="F28" s="7" t="s">
        <v>128</v>
      </c>
      <c r="G28" s="8" t="s">
        <v>129</v>
      </c>
      <c r="H28" s="7" t="str">
        <f>"000046"</f>
        <v>000046</v>
      </c>
      <c r="I28" s="6">
        <v>42886</v>
      </c>
      <c r="J28" s="7" t="str">
        <f>"000024"</f>
        <v>000024</v>
      </c>
      <c r="K28" s="6">
        <v>43017</v>
      </c>
      <c r="L28" s="7" t="str">
        <f>"000041"</f>
        <v>000041</v>
      </c>
      <c r="M28" s="6">
        <v>43025</v>
      </c>
      <c r="N28" s="7">
        <v>17</v>
      </c>
      <c r="O28" s="7" t="str">
        <f>"006972"</f>
        <v>006972</v>
      </c>
      <c r="P28" s="6">
        <v>43399</v>
      </c>
      <c r="Q28" s="9">
        <v>9.2940299999999993</v>
      </c>
      <c r="R28" s="9">
        <v>0.88902999999999999</v>
      </c>
      <c r="S28" s="9">
        <v>8.4049999999999994</v>
      </c>
      <c r="T28" s="7">
        <v>59</v>
      </c>
      <c r="U28" s="6">
        <v>43610</v>
      </c>
      <c r="V28" s="7">
        <v>9880866688</v>
      </c>
      <c r="W28" s="8" t="s">
        <v>99</v>
      </c>
      <c r="X28" s="7" t="s">
        <v>49</v>
      </c>
      <c r="Y28" s="8" t="s">
        <v>50</v>
      </c>
      <c r="Z28" s="7" t="s">
        <v>61</v>
      </c>
      <c r="AA28" s="8" t="s">
        <v>62</v>
      </c>
      <c r="AB28" s="9">
        <f t="shared" si="0"/>
        <v>9.294029999999999E-2</v>
      </c>
    </row>
    <row r="29" spans="1:28" x14ac:dyDescent="0.35">
      <c r="A29" s="4">
        <v>5217</v>
      </c>
      <c r="B29" s="5" t="s">
        <v>29</v>
      </c>
      <c r="C29" s="6">
        <v>43628</v>
      </c>
      <c r="D29" s="7">
        <v>167</v>
      </c>
      <c r="E29" s="8" t="s">
        <v>63</v>
      </c>
      <c r="F29" s="7" t="s">
        <v>130</v>
      </c>
      <c r="G29" s="8" t="s">
        <v>131</v>
      </c>
      <c r="H29" s="7" t="str">
        <f>"000067"</f>
        <v>000067</v>
      </c>
      <c r="I29" s="6">
        <v>42797</v>
      </c>
      <c r="J29" s="7" t="str">
        <f>"000022"</f>
        <v>000022</v>
      </c>
      <c r="K29" s="6">
        <v>43017</v>
      </c>
      <c r="L29" s="7" t="str">
        <f>"000039"</f>
        <v>000039</v>
      </c>
      <c r="M29" s="6">
        <v>43025</v>
      </c>
      <c r="N29" s="7">
        <v>17</v>
      </c>
      <c r="O29" s="7" t="str">
        <f>"002422"</f>
        <v>002422</v>
      </c>
      <c r="P29" s="6">
        <v>43622</v>
      </c>
      <c r="Q29" s="9">
        <v>4.14452</v>
      </c>
      <c r="R29" s="9">
        <v>0.40952</v>
      </c>
      <c r="S29" s="9">
        <v>3.7349999999999999</v>
      </c>
      <c r="T29" s="7">
        <v>76</v>
      </c>
      <c r="U29" s="6">
        <v>43628</v>
      </c>
      <c r="V29" s="7">
        <v>9880866688</v>
      </c>
      <c r="W29" s="8" t="s">
        <v>123</v>
      </c>
      <c r="X29" s="7" t="s">
        <v>30</v>
      </c>
      <c r="Y29" s="8" t="s">
        <v>31</v>
      </c>
      <c r="Z29" s="7" t="s">
        <v>61</v>
      </c>
      <c r="AA29" s="8" t="s">
        <v>62</v>
      </c>
      <c r="AB29" s="9">
        <v>4.1445200000000001E-2</v>
      </c>
    </row>
    <row r="30" spans="1:28" x14ac:dyDescent="0.35">
      <c r="A30" s="4">
        <v>5218</v>
      </c>
      <c r="B30" s="5" t="s">
        <v>29</v>
      </c>
      <c r="C30" s="6">
        <v>43633</v>
      </c>
      <c r="D30" s="7">
        <v>167</v>
      </c>
      <c r="E30" s="8" t="s">
        <v>63</v>
      </c>
      <c r="F30" s="7" t="s">
        <v>132</v>
      </c>
      <c r="G30" s="8" t="s">
        <v>133</v>
      </c>
      <c r="H30" s="7" t="str">
        <f>"000231"</f>
        <v>000231</v>
      </c>
      <c r="I30" s="6">
        <v>43532</v>
      </c>
      <c r="J30" s="7" t="str">
        <f>"000015"</f>
        <v>000015</v>
      </c>
      <c r="K30" s="6">
        <v>43606</v>
      </c>
      <c r="L30" s="7" t="str">
        <f>"000041"</f>
        <v>000041</v>
      </c>
      <c r="M30" s="6">
        <v>43607</v>
      </c>
      <c r="N30" s="7">
        <v>19</v>
      </c>
      <c r="O30" s="7" t="str">
        <f>"002699"</f>
        <v>002699</v>
      </c>
      <c r="P30" s="6">
        <v>43629</v>
      </c>
      <c r="Q30" s="9">
        <v>41.38926</v>
      </c>
      <c r="R30" s="9">
        <v>3.79026</v>
      </c>
      <c r="S30" s="9">
        <v>37.598999999999997</v>
      </c>
      <c r="T30" s="7">
        <v>83</v>
      </c>
      <c r="U30" s="6">
        <v>43633</v>
      </c>
      <c r="V30" s="7">
        <v>9964218400</v>
      </c>
      <c r="W30" s="8" t="s">
        <v>134</v>
      </c>
      <c r="X30" s="7" t="s">
        <v>39</v>
      </c>
      <c r="Y30" s="8" t="s">
        <v>40</v>
      </c>
      <c r="Z30" s="7" t="s">
        <v>61</v>
      </c>
      <c r="AA30" s="8" t="s">
        <v>62</v>
      </c>
      <c r="AB30" s="9">
        <v>0.4138926</v>
      </c>
    </row>
    <row r="31" spans="1:28" x14ac:dyDescent="0.35">
      <c r="A31" s="4">
        <v>5219</v>
      </c>
      <c r="B31" s="5" t="s">
        <v>29</v>
      </c>
      <c r="C31" s="6">
        <v>43640</v>
      </c>
      <c r="D31" s="7">
        <v>167</v>
      </c>
      <c r="E31" s="8" t="s">
        <v>63</v>
      </c>
      <c r="F31" s="7" t="s">
        <v>135</v>
      </c>
      <c r="G31" s="8" t="s">
        <v>136</v>
      </c>
      <c r="H31" s="7" t="str">
        <f>"000061"</f>
        <v>000061</v>
      </c>
      <c r="I31" s="6">
        <v>43495</v>
      </c>
      <c r="J31" s="7" t="str">
        <f>"000025"</f>
        <v>000025</v>
      </c>
      <c r="K31" s="6">
        <v>43626</v>
      </c>
      <c r="L31" s="7" t="str">
        <f>"000024"</f>
        <v>000024</v>
      </c>
      <c r="M31" s="6">
        <v>43627</v>
      </c>
      <c r="N31" s="7">
        <v>17</v>
      </c>
      <c r="O31" s="7" t="str">
        <f>"002858"</f>
        <v>002858</v>
      </c>
      <c r="P31" s="6">
        <v>43636</v>
      </c>
      <c r="Q31" s="9">
        <v>93.014600000000002</v>
      </c>
      <c r="R31" s="9">
        <v>9.8102999999999998</v>
      </c>
      <c r="S31" s="9">
        <v>83.204300000000003</v>
      </c>
      <c r="T31" s="7">
        <v>92</v>
      </c>
      <c r="U31" s="6">
        <v>43640</v>
      </c>
      <c r="V31" s="7">
        <v>9845118582</v>
      </c>
      <c r="W31" s="8" t="s">
        <v>137</v>
      </c>
      <c r="X31" s="7" t="s">
        <v>53</v>
      </c>
      <c r="Y31" s="8" t="s">
        <v>54</v>
      </c>
      <c r="Z31" s="7" t="s">
        <v>59</v>
      </c>
      <c r="AA31" s="8" t="s">
        <v>60</v>
      </c>
      <c r="AB31" s="9">
        <v>0.93014600000000003</v>
      </c>
    </row>
    <row r="32" spans="1:28" x14ac:dyDescent="0.35">
      <c r="A32" s="4">
        <v>5220</v>
      </c>
      <c r="B32" s="5" t="s">
        <v>138</v>
      </c>
      <c r="C32" s="6">
        <v>43647</v>
      </c>
      <c r="D32" s="7">
        <v>167</v>
      </c>
      <c r="E32" s="8" t="s">
        <v>63</v>
      </c>
      <c r="F32" s="7" t="s">
        <v>139</v>
      </c>
      <c r="G32" s="10" t="s">
        <v>140</v>
      </c>
      <c r="H32" s="7" t="str">
        <f>"000014"</f>
        <v>000014</v>
      </c>
      <c r="I32" s="6">
        <v>43117</v>
      </c>
      <c r="J32" s="7" t="str">
        <f>"000031"</f>
        <v>000031</v>
      </c>
      <c r="K32" s="6">
        <v>43117</v>
      </c>
      <c r="L32" s="7" t="str">
        <f>"000102"</f>
        <v>000102</v>
      </c>
      <c r="M32" s="6">
        <v>43117</v>
      </c>
      <c r="N32" s="7">
        <v>17</v>
      </c>
      <c r="O32" s="7" t="str">
        <f>"003059"</f>
        <v>003059</v>
      </c>
      <c r="P32" s="6">
        <v>43640</v>
      </c>
      <c r="Q32" s="11">
        <v>20.184999999999999</v>
      </c>
      <c r="R32" s="11">
        <v>1.8009999999999999</v>
      </c>
      <c r="S32" s="11">
        <v>18.384</v>
      </c>
      <c r="T32" s="7">
        <v>96</v>
      </c>
      <c r="U32" s="6">
        <v>43647</v>
      </c>
      <c r="V32" s="7">
        <v>9845187748</v>
      </c>
      <c r="W32" s="10" t="s">
        <v>141</v>
      </c>
      <c r="X32" s="7" t="s">
        <v>142</v>
      </c>
      <c r="Y32" s="10" t="s">
        <v>143</v>
      </c>
      <c r="Z32" s="7" t="s">
        <v>55</v>
      </c>
      <c r="AA32" s="10" t="s">
        <v>56</v>
      </c>
      <c r="AB32" s="11">
        <f t="shared" ref="AB32:AB52" si="1">Q32/100</f>
        <v>0.20184999999999997</v>
      </c>
    </row>
    <row r="33" spans="1:28" x14ac:dyDescent="0.35">
      <c r="A33" s="4">
        <v>5221</v>
      </c>
      <c r="B33" s="5" t="s">
        <v>138</v>
      </c>
      <c r="C33" s="6">
        <v>43648</v>
      </c>
      <c r="D33" s="7">
        <v>167</v>
      </c>
      <c r="E33" s="8" t="s">
        <v>63</v>
      </c>
      <c r="F33" s="7" t="s">
        <v>64</v>
      </c>
      <c r="G33" s="10" t="s">
        <v>65</v>
      </c>
      <c r="H33" s="7" t="str">
        <f>"000012"</f>
        <v>000012</v>
      </c>
      <c r="I33" s="6">
        <v>42825</v>
      </c>
      <c r="J33" s="7" t="str">
        <f>"000201"</f>
        <v>000201</v>
      </c>
      <c r="K33" s="6">
        <v>43776</v>
      </c>
      <c r="L33" s="7" t="str">
        <f>"000201"</f>
        <v>000201</v>
      </c>
      <c r="M33" s="6">
        <v>43777</v>
      </c>
      <c r="N33" s="7">
        <v>16</v>
      </c>
      <c r="O33" s="7" t="str">
        <f>""</f>
        <v/>
      </c>
      <c r="P33" s="7"/>
      <c r="Q33" s="11">
        <v>4.2032600000000002</v>
      </c>
      <c r="R33" s="11">
        <v>0.32843</v>
      </c>
      <c r="S33" s="11">
        <v>3.8748300000000002</v>
      </c>
      <c r="T33" s="7">
        <v>102</v>
      </c>
      <c r="U33" s="6">
        <v>43648</v>
      </c>
      <c r="V33" s="7">
        <v>0</v>
      </c>
      <c r="W33" s="10" t="s">
        <v>66</v>
      </c>
      <c r="X33" s="7" t="s">
        <v>38</v>
      </c>
      <c r="Y33" s="10" t="s">
        <v>37</v>
      </c>
      <c r="Z33" s="7" t="s">
        <v>57</v>
      </c>
      <c r="AA33" s="10" t="s">
        <v>58</v>
      </c>
      <c r="AB33" s="11">
        <f t="shared" si="1"/>
        <v>4.2032600000000003E-2</v>
      </c>
    </row>
    <row r="34" spans="1:28" x14ac:dyDescent="0.35">
      <c r="A34" s="4">
        <v>5222</v>
      </c>
      <c r="B34" s="5" t="s">
        <v>138</v>
      </c>
      <c r="C34" s="6">
        <v>43663</v>
      </c>
      <c r="D34" s="7">
        <v>167</v>
      </c>
      <c r="E34" s="8" t="s">
        <v>63</v>
      </c>
      <c r="F34" s="7" t="s">
        <v>144</v>
      </c>
      <c r="G34" s="10" t="s">
        <v>145</v>
      </c>
      <c r="H34" s="7" t="str">
        <f>"000138"</f>
        <v>000138</v>
      </c>
      <c r="I34" s="6">
        <v>43122</v>
      </c>
      <c r="J34" s="7" t="str">
        <f>"000118"</f>
        <v>000118</v>
      </c>
      <c r="K34" s="6">
        <v>43174</v>
      </c>
      <c r="L34" s="7" t="str">
        <f>"000116"</f>
        <v>000116</v>
      </c>
      <c r="M34" s="6">
        <v>43174</v>
      </c>
      <c r="N34" s="7">
        <v>18</v>
      </c>
      <c r="O34" s="7" t="str">
        <f>"003408"</f>
        <v>003408</v>
      </c>
      <c r="P34" s="6">
        <v>43661</v>
      </c>
      <c r="Q34" s="11">
        <v>9.8631600000000006</v>
      </c>
      <c r="R34" s="11">
        <v>0.50300999999999996</v>
      </c>
      <c r="S34" s="11">
        <v>9.3601500000000009</v>
      </c>
      <c r="T34" s="7">
        <v>113</v>
      </c>
      <c r="U34" s="6">
        <v>43663</v>
      </c>
      <c r="V34" s="7">
        <v>9448762931</v>
      </c>
      <c r="W34" s="10" t="s">
        <v>91</v>
      </c>
      <c r="X34" s="7" t="s">
        <v>45</v>
      </c>
      <c r="Y34" s="10" t="s">
        <v>46</v>
      </c>
      <c r="Z34" s="7" t="s">
        <v>57</v>
      </c>
      <c r="AA34" s="10" t="s">
        <v>58</v>
      </c>
      <c r="AB34" s="11">
        <f t="shared" si="1"/>
        <v>9.86316E-2</v>
      </c>
    </row>
    <row r="35" spans="1:28" x14ac:dyDescent="0.35">
      <c r="A35" s="4">
        <v>5223</v>
      </c>
      <c r="B35" s="5" t="s">
        <v>138</v>
      </c>
      <c r="C35" s="6">
        <v>43664</v>
      </c>
      <c r="D35" s="7">
        <v>167</v>
      </c>
      <c r="E35" s="8" t="s">
        <v>63</v>
      </c>
      <c r="F35" s="7" t="s">
        <v>64</v>
      </c>
      <c r="G35" s="10" t="s">
        <v>65</v>
      </c>
      <c r="H35" s="7" t="str">
        <f>"000012"</f>
        <v>000012</v>
      </c>
      <c r="I35" s="6">
        <v>42825</v>
      </c>
      <c r="J35" s="7" t="str">
        <f>"000201"</f>
        <v>000201</v>
      </c>
      <c r="K35" s="6">
        <v>43776</v>
      </c>
      <c r="L35" s="7" t="str">
        <f>"000201"</f>
        <v>000201</v>
      </c>
      <c r="M35" s="6">
        <v>43777</v>
      </c>
      <c r="N35" s="7">
        <v>16</v>
      </c>
      <c r="O35" s="7" t="str">
        <f>""</f>
        <v/>
      </c>
      <c r="P35" s="7"/>
      <c r="Q35" s="11">
        <v>4.2032600000000002</v>
      </c>
      <c r="R35" s="11">
        <v>0.31942999999999999</v>
      </c>
      <c r="S35" s="11">
        <v>3.8838300000000001</v>
      </c>
      <c r="T35" s="7">
        <v>115</v>
      </c>
      <c r="U35" s="6">
        <v>43664</v>
      </c>
      <c r="V35" s="7">
        <v>0</v>
      </c>
      <c r="W35" s="10" t="s">
        <v>66</v>
      </c>
      <c r="X35" s="7" t="s">
        <v>38</v>
      </c>
      <c r="Y35" s="10" t="s">
        <v>37</v>
      </c>
      <c r="Z35" s="7" t="s">
        <v>57</v>
      </c>
      <c r="AA35" s="10" t="s">
        <v>58</v>
      </c>
      <c r="AB35" s="11">
        <f t="shared" si="1"/>
        <v>4.2032600000000003E-2</v>
      </c>
    </row>
    <row r="36" spans="1:28" x14ac:dyDescent="0.35">
      <c r="A36" s="4">
        <v>5224</v>
      </c>
      <c r="B36" s="5" t="s">
        <v>138</v>
      </c>
      <c r="C36" s="6">
        <v>43665</v>
      </c>
      <c r="D36" s="7">
        <v>167</v>
      </c>
      <c r="E36" s="8" t="s">
        <v>63</v>
      </c>
      <c r="F36" s="7" t="s">
        <v>146</v>
      </c>
      <c r="G36" s="10" t="s">
        <v>147</v>
      </c>
      <c r="H36" s="7" t="str">
        <f>"000205"</f>
        <v>000205</v>
      </c>
      <c r="I36" s="6">
        <v>43182</v>
      </c>
      <c r="J36" s="7" t="str">
        <f>"000138"</f>
        <v>000138</v>
      </c>
      <c r="K36" s="6">
        <v>43182</v>
      </c>
      <c r="L36" s="7" t="str">
        <f>"000139"</f>
        <v>000139</v>
      </c>
      <c r="M36" s="6">
        <v>43182</v>
      </c>
      <c r="N36" s="7">
        <v>18</v>
      </c>
      <c r="O36" s="7" t="str">
        <f>"003803"</f>
        <v>003803</v>
      </c>
      <c r="P36" s="6">
        <v>43665</v>
      </c>
      <c r="Q36" s="11">
        <v>5.10555</v>
      </c>
      <c r="R36" s="11">
        <v>0.26039000000000001</v>
      </c>
      <c r="S36" s="11">
        <v>4.8451599999999999</v>
      </c>
      <c r="T36" s="7">
        <v>118</v>
      </c>
      <c r="U36" s="6">
        <v>43665</v>
      </c>
      <c r="V36" s="7">
        <v>0</v>
      </c>
      <c r="W36" s="10" t="s">
        <v>148</v>
      </c>
      <c r="X36" s="7" t="s">
        <v>45</v>
      </c>
      <c r="Y36" s="10" t="s">
        <v>46</v>
      </c>
      <c r="Z36" s="7" t="s">
        <v>57</v>
      </c>
      <c r="AA36" s="10" t="s">
        <v>58</v>
      </c>
      <c r="AB36" s="11">
        <f t="shared" si="1"/>
        <v>5.1055500000000004E-2</v>
      </c>
    </row>
    <row r="37" spans="1:28" x14ac:dyDescent="0.35">
      <c r="A37" s="4">
        <v>5225</v>
      </c>
      <c r="B37" s="5" t="s">
        <v>138</v>
      </c>
      <c r="C37" s="6">
        <v>43665</v>
      </c>
      <c r="D37" s="7">
        <v>167</v>
      </c>
      <c r="E37" s="8" t="s">
        <v>63</v>
      </c>
      <c r="F37" s="7" t="s">
        <v>149</v>
      </c>
      <c r="G37" s="10" t="s">
        <v>150</v>
      </c>
      <c r="H37" s="7" t="str">
        <f>"000061"</f>
        <v>000061</v>
      </c>
      <c r="I37" s="6">
        <v>43073</v>
      </c>
      <c r="J37" s="7" t="str">
        <f>"000079"</f>
        <v>000079</v>
      </c>
      <c r="K37" s="6">
        <v>43182</v>
      </c>
      <c r="L37" s="7" t="str">
        <f>"000169"</f>
        <v>000169</v>
      </c>
      <c r="M37" s="6">
        <v>43185</v>
      </c>
      <c r="N37" s="7">
        <v>18</v>
      </c>
      <c r="O37" s="7" t="str">
        <f>"003804"</f>
        <v>003804</v>
      </c>
      <c r="P37" s="6">
        <v>43665</v>
      </c>
      <c r="Q37" s="11">
        <v>26.69276</v>
      </c>
      <c r="R37" s="11">
        <v>2.5927600000000002</v>
      </c>
      <c r="S37" s="11">
        <v>24.1</v>
      </c>
      <c r="T37" s="7">
        <v>118</v>
      </c>
      <c r="U37" s="6">
        <v>43665</v>
      </c>
      <c r="V37" s="7">
        <v>9880866688</v>
      </c>
      <c r="W37" s="10" t="s">
        <v>99</v>
      </c>
      <c r="X37" s="7" t="s">
        <v>76</v>
      </c>
      <c r="Y37" s="10" t="s">
        <v>77</v>
      </c>
      <c r="Z37" s="7" t="s">
        <v>61</v>
      </c>
      <c r="AA37" s="10" t="s">
        <v>62</v>
      </c>
      <c r="AB37" s="11">
        <f t="shared" si="1"/>
        <v>0.26692759999999999</v>
      </c>
    </row>
    <row r="38" spans="1:28" x14ac:dyDescent="0.35">
      <c r="A38" s="4">
        <v>5226</v>
      </c>
      <c r="B38" s="5" t="s">
        <v>138</v>
      </c>
      <c r="C38" s="6">
        <v>43668</v>
      </c>
      <c r="D38" s="7">
        <v>167</v>
      </c>
      <c r="E38" s="8" t="s">
        <v>63</v>
      </c>
      <c r="F38" s="7" t="s">
        <v>102</v>
      </c>
      <c r="G38" s="10" t="s">
        <v>103</v>
      </c>
      <c r="H38" s="7" t="str">
        <f>"000143"</f>
        <v>000143</v>
      </c>
      <c r="I38" s="6">
        <v>43469</v>
      </c>
      <c r="J38" s="7" t="str">
        <f>"000100"</f>
        <v>000100</v>
      </c>
      <c r="K38" s="6">
        <v>43540</v>
      </c>
      <c r="L38" s="7" t="str">
        <f>"000208"</f>
        <v>000208</v>
      </c>
      <c r="M38" s="6">
        <v>43542</v>
      </c>
      <c r="N38" s="7">
        <v>19</v>
      </c>
      <c r="O38" s="7" t="str">
        <f>"001096"</f>
        <v>001096</v>
      </c>
      <c r="P38" s="6">
        <v>43581</v>
      </c>
      <c r="Q38" s="11">
        <v>1.4921599999999999</v>
      </c>
      <c r="R38" s="11">
        <v>4.6249999999999999E-2</v>
      </c>
      <c r="S38" s="11">
        <v>1.44591</v>
      </c>
      <c r="T38" s="7">
        <v>119</v>
      </c>
      <c r="U38" s="6">
        <v>43668</v>
      </c>
      <c r="V38" s="7">
        <v>0</v>
      </c>
      <c r="W38" s="10" t="s">
        <v>151</v>
      </c>
      <c r="X38" s="7" t="s">
        <v>41</v>
      </c>
      <c r="Y38" s="10" t="s">
        <v>152</v>
      </c>
      <c r="Z38" s="7" t="s">
        <v>57</v>
      </c>
      <c r="AA38" s="10" t="s">
        <v>58</v>
      </c>
      <c r="AB38" s="11">
        <f t="shared" si="1"/>
        <v>1.49216E-2</v>
      </c>
    </row>
    <row r="39" spans="1:28" x14ac:dyDescent="0.35">
      <c r="A39" s="4">
        <v>5227</v>
      </c>
      <c r="B39" s="5" t="s">
        <v>138</v>
      </c>
      <c r="C39" s="6">
        <v>43668</v>
      </c>
      <c r="D39" s="7">
        <v>167</v>
      </c>
      <c r="E39" s="8" t="s">
        <v>63</v>
      </c>
      <c r="F39" s="7" t="s">
        <v>67</v>
      </c>
      <c r="G39" s="10" t="s">
        <v>68</v>
      </c>
      <c r="H39" s="7" t="str">
        <f>"000017"</f>
        <v>000017</v>
      </c>
      <c r="I39" s="6">
        <v>43147</v>
      </c>
      <c r="J39" s="7" t="str">
        <f>"000023"</f>
        <v>000023</v>
      </c>
      <c r="K39" s="6">
        <v>43502</v>
      </c>
      <c r="L39" s="7" t="str">
        <f>"000283"</f>
        <v>000283</v>
      </c>
      <c r="M39" s="6">
        <v>43502</v>
      </c>
      <c r="N39" s="7">
        <v>18</v>
      </c>
      <c r="O39" s="7" t="str">
        <f>"000472"</f>
        <v>000472</v>
      </c>
      <c r="P39" s="6">
        <v>43567</v>
      </c>
      <c r="Q39" s="11">
        <v>3.8705500000000002</v>
      </c>
      <c r="R39" s="11">
        <v>0.38705000000000001</v>
      </c>
      <c r="S39" s="11">
        <v>3.4834999999999998</v>
      </c>
      <c r="T39" s="7">
        <v>120</v>
      </c>
      <c r="U39" s="6">
        <v>43668</v>
      </c>
      <c r="V39" s="7">
        <v>9448354103</v>
      </c>
      <c r="W39" s="10" t="s">
        <v>153</v>
      </c>
      <c r="X39" s="7" t="s">
        <v>53</v>
      </c>
      <c r="Y39" s="10" t="s">
        <v>54</v>
      </c>
      <c r="Z39" s="7" t="s">
        <v>55</v>
      </c>
      <c r="AA39" s="10" t="s">
        <v>56</v>
      </c>
      <c r="AB39" s="11">
        <f t="shared" si="1"/>
        <v>3.8705500000000004E-2</v>
      </c>
    </row>
    <row r="40" spans="1:28" x14ac:dyDescent="0.35">
      <c r="A40" s="4">
        <v>5228</v>
      </c>
      <c r="B40" s="5" t="s">
        <v>138</v>
      </c>
      <c r="C40" s="6">
        <v>43669</v>
      </c>
      <c r="D40" s="7">
        <v>167</v>
      </c>
      <c r="E40" s="8" t="s">
        <v>63</v>
      </c>
      <c r="F40" s="7" t="s">
        <v>154</v>
      </c>
      <c r="G40" s="10" t="s">
        <v>155</v>
      </c>
      <c r="H40" s="7" t="str">
        <f>"000136"</f>
        <v>000136</v>
      </c>
      <c r="I40" s="6">
        <v>43122</v>
      </c>
      <c r="J40" s="7" t="str">
        <f>"000111"</f>
        <v>000111</v>
      </c>
      <c r="K40" s="6">
        <v>43147</v>
      </c>
      <c r="L40" s="7" t="str">
        <f>"000109"</f>
        <v>000109</v>
      </c>
      <c r="M40" s="6">
        <v>43147</v>
      </c>
      <c r="N40" s="7">
        <v>18</v>
      </c>
      <c r="O40" s="7" t="str">
        <f>"003694"</f>
        <v>003694</v>
      </c>
      <c r="P40" s="6">
        <v>43664</v>
      </c>
      <c r="Q40" s="11">
        <v>10.02281</v>
      </c>
      <c r="R40" s="11">
        <v>0.51117000000000001</v>
      </c>
      <c r="S40" s="11">
        <v>9.5116399999999999</v>
      </c>
      <c r="T40" s="7">
        <v>122</v>
      </c>
      <c r="U40" s="6">
        <v>43669</v>
      </c>
      <c r="V40" s="7">
        <v>9448762931</v>
      </c>
      <c r="W40" s="10" t="s">
        <v>91</v>
      </c>
      <c r="X40" s="7" t="s">
        <v>49</v>
      </c>
      <c r="Y40" s="10" t="s">
        <v>50</v>
      </c>
      <c r="Z40" s="7" t="s">
        <v>57</v>
      </c>
      <c r="AA40" s="10" t="s">
        <v>58</v>
      </c>
      <c r="AB40" s="11">
        <f t="shared" si="1"/>
        <v>0.1002281</v>
      </c>
    </row>
    <row r="41" spans="1:28" x14ac:dyDescent="0.35">
      <c r="A41" s="4">
        <v>5229</v>
      </c>
      <c r="B41" s="5" t="s">
        <v>138</v>
      </c>
      <c r="C41" s="6">
        <v>43677</v>
      </c>
      <c r="D41" s="7">
        <v>167</v>
      </c>
      <c r="E41" s="8" t="s">
        <v>63</v>
      </c>
      <c r="F41" s="7" t="s">
        <v>156</v>
      </c>
      <c r="G41" s="10" t="s">
        <v>157</v>
      </c>
      <c r="H41" s="7" t="str">
        <f>"000072"</f>
        <v>000072</v>
      </c>
      <c r="I41" s="6">
        <v>42797</v>
      </c>
      <c r="J41" s="7" t="str">
        <f>"000055"</f>
        <v>000055</v>
      </c>
      <c r="K41" s="6">
        <v>43158</v>
      </c>
      <c r="L41" s="7" t="str">
        <f>"000138"</f>
        <v>000138</v>
      </c>
      <c r="M41" s="6">
        <v>43159</v>
      </c>
      <c r="N41" s="7">
        <v>17</v>
      </c>
      <c r="O41" s="7" t="str">
        <f>"004007"</f>
        <v>004007</v>
      </c>
      <c r="P41" s="6">
        <v>43671</v>
      </c>
      <c r="Q41" s="11">
        <v>12.456160000000001</v>
      </c>
      <c r="R41" s="11">
        <v>1.2711600000000001</v>
      </c>
      <c r="S41" s="11">
        <v>11.185</v>
      </c>
      <c r="T41" s="7">
        <v>135</v>
      </c>
      <c r="U41" s="6">
        <v>43677</v>
      </c>
      <c r="V41" s="7">
        <v>9945088804</v>
      </c>
      <c r="W41" s="10" t="s">
        <v>109</v>
      </c>
      <c r="X41" s="7" t="s">
        <v>30</v>
      </c>
      <c r="Y41" s="10" t="s">
        <v>31</v>
      </c>
      <c r="Z41" s="7" t="s">
        <v>61</v>
      </c>
      <c r="AA41" s="10" t="s">
        <v>62</v>
      </c>
      <c r="AB41" s="11">
        <f t="shared" si="1"/>
        <v>0.12456160000000001</v>
      </c>
    </row>
    <row r="42" spans="1:28" x14ac:dyDescent="0.35">
      <c r="A42" s="4">
        <v>5230</v>
      </c>
      <c r="B42" s="5" t="s">
        <v>138</v>
      </c>
      <c r="C42" s="6">
        <v>43677</v>
      </c>
      <c r="D42" s="7">
        <v>167</v>
      </c>
      <c r="E42" s="8" t="s">
        <v>63</v>
      </c>
      <c r="F42" s="7" t="s">
        <v>158</v>
      </c>
      <c r="G42" s="10" t="s">
        <v>159</v>
      </c>
      <c r="H42" s="7" t="str">
        <f>"000012"</f>
        <v>000012</v>
      </c>
      <c r="I42" s="6">
        <v>42513</v>
      </c>
      <c r="J42" s="7" t="str">
        <f>"000056"</f>
        <v>000056</v>
      </c>
      <c r="K42" s="6">
        <v>43158</v>
      </c>
      <c r="L42" s="7" t="str">
        <f>"000139"</f>
        <v>000139</v>
      </c>
      <c r="M42" s="6">
        <v>43159</v>
      </c>
      <c r="N42" s="7">
        <v>16</v>
      </c>
      <c r="O42" s="7" t="str">
        <f>"004008"</f>
        <v>004008</v>
      </c>
      <c r="P42" s="6">
        <v>43671</v>
      </c>
      <c r="Q42" s="11">
        <v>4.8783399999999997</v>
      </c>
      <c r="R42" s="11">
        <v>0.49634</v>
      </c>
      <c r="S42" s="11">
        <v>4.3819999999999997</v>
      </c>
      <c r="T42" s="7">
        <v>135</v>
      </c>
      <c r="U42" s="6">
        <v>43677</v>
      </c>
      <c r="V42" s="7">
        <v>9880866688</v>
      </c>
      <c r="W42" s="10" t="s">
        <v>99</v>
      </c>
      <c r="X42" s="7" t="s">
        <v>49</v>
      </c>
      <c r="Y42" s="10" t="s">
        <v>50</v>
      </c>
      <c r="Z42" s="7" t="s">
        <v>61</v>
      </c>
      <c r="AA42" s="10" t="s">
        <v>62</v>
      </c>
      <c r="AB42" s="11">
        <f t="shared" si="1"/>
        <v>4.8783399999999998E-2</v>
      </c>
    </row>
    <row r="43" spans="1:28" x14ac:dyDescent="0.35">
      <c r="A43" s="4">
        <v>5231</v>
      </c>
      <c r="B43" s="5" t="s">
        <v>138</v>
      </c>
      <c r="C43" s="6">
        <v>43677</v>
      </c>
      <c r="D43" s="7">
        <v>167</v>
      </c>
      <c r="E43" s="8" t="s">
        <v>63</v>
      </c>
      <c r="F43" s="7" t="s">
        <v>160</v>
      </c>
      <c r="G43" s="10" t="s">
        <v>161</v>
      </c>
      <c r="H43" s="7" t="str">
        <f>"000061"</f>
        <v>000061</v>
      </c>
      <c r="I43" s="6">
        <v>42797</v>
      </c>
      <c r="J43" s="7" t="str">
        <f>"000061"</f>
        <v>000061</v>
      </c>
      <c r="K43" s="6">
        <v>43159</v>
      </c>
      <c r="L43" s="7" t="str">
        <f>"000144"</f>
        <v>000144</v>
      </c>
      <c r="M43" s="6">
        <v>43159</v>
      </c>
      <c r="N43" s="7">
        <v>17</v>
      </c>
      <c r="O43" s="7" t="str">
        <f>"004009"</f>
        <v>004009</v>
      </c>
      <c r="P43" s="6">
        <v>43671</v>
      </c>
      <c r="Q43" s="11">
        <v>8.9789999999999992</v>
      </c>
      <c r="R43" s="11">
        <v>0.92330000000000001</v>
      </c>
      <c r="S43" s="11">
        <v>8.0556999999999999</v>
      </c>
      <c r="T43" s="7">
        <v>135</v>
      </c>
      <c r="U43" s="6">
        <v>43677</v>
      </c>
      <c r="V43" s="7">
        <v>9738461992</v>
      </c>
      <c r="W43" s="10" t="s">
        <v>120</v>
      </c>
      <c r="X43" s="7" t="s">
        <v>30</v>
      </c>
      <c r="Y43" s="10" t="s">
        <v>31</v>
      </c>
      <c r="Z43" s="7" t="s">
        <v>61</v>
      </c>
      <c r="AA43" s="10" t="s">
        <v>62</v>
      </c>
      <c r="AB43" s="11">
        <f t="shared" si="1"/>
        <v>8.9789999999999995E-2</v>
      </c>
    </row>
    <row r="44" spans="1:28" x14ac:dyDescent="0.35">
      <c r="A44" s="4">
        <v>5232</v>
      </c>
      <c r="B44" s="5" t="s">
        <v>138</v>
      </c>
      <c r="C44" s="6">
        <v>43677</v>
      </c>
      <c r="D44" s="7">
        <v>167</v>
      </c>
      <c r="E44" s="8" t="s">
        <v>63</v>
      </c>
      <c r="F44" s="7" t="s">
        <v>162</v>
      </c>
      <c r="G44" s="10" t="s">
        <v>163</v>
      </c>
      <c r="H44" s="7" t="str">
        <f>"000065"</f>
        <v>000065</v>
      </c>
      <c r="I44" s="6">
        <v>42797</v>
      </c>
      <c r="J44" s="7" t="str">
        <f>"000063"</f>
        <v>000063</v>
      </c>
      <c r="K44" s="6">
        <v>43159</v>
      </c>
      <c r="L44" s="7" t="str">
        <f>"000146"</f>
        <v>000146</v>
      </c>
      <c r="M44" s="6">
        <v>43159</v>
      </c>
      <c r="N44" s="7">
        <v>17</v>
      </c>
      <c r="O44" s="7" t="str">
        <f>"004010"</f>
        <v>004010</v>
      </c>
      <c r="P44" s="6">
        <v>43671</v>
      </c>
      <c r="Q44" s="11">
        <v>10.35244</v>
      </c>
      <c r="R44" s="11">
        <v>1.04444</v>
      </c>
      <c r="S44" s="11">
        <v>9.3079999999999998</v>
      </c>
      <c r="T44" s="7">
        <v>135</v>
      </c>
      <c r="U44" s="6">
        <v>43677</v>
      </c>
      <c r="V44" s="7">
        <v>9945088804</v>
      </c>
      <c r="W44" s="10" t="s">
        <v>109</v>
      </c>
      <c r="X44" s="7" t="s">
        <v>30</v>
      </c>
      <c r="Y44" s="10" t="s">
        <v>31</v>
      </c>
      <c r="Z44" s="7" t="s">
        <v>61</v>
      </c>
      <c r="AA44" s="10" t="s">
        <v>62</v>
      </c>
      <c r="AB44" s="11">
        <f t="shared" si="1"/>
        <v>0.1035244</v>
      </c>
    </row>
    <row r="45" spans="1:28" x14ac:dyDescent="0.35">
      <c r="A45" s="4">
        <v>5233</v>
      </c>
      <c r="B45" s="5" t="s">
        <v>164</v>
      </c>
      <c r="C45" s="6">
        <v>43684</v>
      </c>
      <c r="D45" s="7">
        <v>167</v>
      </c>
      <c r="E45" s="8" t="s">
        <v>63</v>
      </c>
      <c r="F45" s="7" t="s">
        <v>165</v>
      </c>
      <c r="G45" s="10" t="s">
        <v>166</v>
      </c>
      <c r="H45" s="7" t="str">
        <f>"000089"</f>
        <v>000089</v>
      </c>
      <c r="I45" s="6">
        <v>42404</v>
      </c>
      <c r="J45" s="7" t="str">
        <f>"000065"</f>
        <v>000065</v>
      </c>
      <c r="K45" s="6">
        <v>43160</v>
      </c>
      <c r="L45" s="7" t="str">
        <f>"000153"</f>
        <v>000153</v>
      </c>
      <c r="M45" s="6">
        <v>43161</v>
      </c>
      <c r="N45" s="7">
        <v>16</v>
      </c>
      <c r="O45" s="7" t="str">
        <f>"004190"</f>
        <v>004190</v>
      </c>
      <c r="P45" s="6">
        <v>43679</v>
      </c>
      <c r="Q45" s="11">
        <v>10.34132</v>
      </c>
      <c r="R45" s="11">
        <v>1.2183200000000001</v>
      </c>
      <c r="S45" s="11">
        <v>9.1229999999999993</v>
      </c>
      <c r="T45" s="7">
        <v>144</v>
      </c>
      <c r="U45" s="6">
        <v>43684</v>
      </c>
      <c r="V45" s="7">
        <v>9901333577</v>
      </c>
      <c r="W45" s="10" t="s">
        <v>167</v>
      </c>
      <c r="X45" s="7" t="s">
        <v>30</v>
      </c>
      <c r="Y45" s="10" t="s">
        <v>31</v>
      </c>
      <c r="Z45" s="7" t="s">
        <v>61</v>
      </c>
      <c r="AA45" s="10" t="s">
        <v>62</v>
      </c>
      <c r="AB45" s="11">
        <f t="shared" si="1"/>
        <v>0.1034132</v>
      </c>
    </row>
    <row r="46" spans="1:28" x14ac:dyDescent="0.35">
      <c r="A46" s="4">
        <v>5234</v>
      </c>
      <c r="B46" s="5" t="s">
        <v>164</v>
      </c>
      <c r="C46" s="6">
        <v>43684</v>
      </c>
      <c r="D46" s="7">
        <v>167</v>
      </c>
      <c r="E46" s="8" t="s">
        <v>63</v>
      </c>
      <c r="F46" s="7" t="s">
        <v>168</v>
      </c>
      <c r="G46" s="10" t="s">
        <v>169</v>
      </c>
      <c r="H46" s="7" t="str">
        <f>"000049"</f>
        <v>000049</v>
      </c>
      <c r="I46" s="6">
        <v>42886</v>
      </c>
      <c r="J46" s="7" t="str">
        <f>"000066"</f>
        <v>000066</v>
      </c>
      <c r="K46" s="6">
        <v>43160</v>
      </c>
      <c r="L46" s="7" t="str">
        <f>"000154"</f>
        <v>000154</v>
      </c>
      <c r="M46" s="6">
        <v>43161</v>
      </c>
      <c r="N46" s="7">
        <v>17</v>
      </c>
      <c r="O46" s="7" t="str">
        <f>"004191"</f>
        <v>004191</v>
      </c>
      <c r="P46" s="6">
        <v>43679</v>
      </c>
      <c r="Q46" s="11">
        <v>20.760549999999999</v>
      </c>
      <c r="R46" s="11">
        <v>2.0805500000000001</v>
      </c>
      <c r="S46" s="11">
        <v>18.68</v>
      </c>
      <c r="T46" s="7">
        <v>144</v>
      </c>
      <c r="U46" s="6">
        <v>43684</v>
      </c>
      <c r="V46" s="7">
        <v>9845187748</v>
      </c>
      <c r="W46" s="10" t="s">
        <v>72</v>
      </c>
      <c r="X46" s="7" t="s">
        <v>45</v>
      </c>
      <c r="Y46" s="10" t="s">
        <v>46</v>
      </c>
      <c r="Z46" s="7" t="s">
        <v>61</v>
      </c>
      <c r="AA46" s="10" t="s">
        <v>62</v>
      </c>
      <c r="AB46" s="11">
        <f t="shared" si="1"/>
        <v>0.2076055</v>
      </c>
    </row>
    <row r="47" spans="1:28" x14ac:dyDescent="0.35">
      <c r="A47" s="4">
        <v>5235</v>
      </c>
      <c r="B47" s="5" t="s">
        <v>164</v>
      </c>
      <c r="C47" s="6">
        <v>43684</v>
      </c>
      <c r="D47" s="7">
        <v>167</v>
      </c>
      <c r="E47" s="8" t="s">
        <v>63</v>
      </c>
      <c r="F47" s="7" t="s">
        <v>170</v>
      </c>
      <c r="G47" s="10" t="s">
        <v>171</v>
      </c>
      <c r="H47" s="7" t="str">
        <f>"000048"</f>
        <v>000048</v>
      </c>
      <c r="I47" s="6">
        <v>42886</v>
      </c>
      <c r="J47" s="7" t="str">
        <f>"000067"</f>
        <v>000067</v>
      </c>
      <c r="K47" s="6">
        <v>43160</v>
      </c>
      <c r="L47" s="7" t="str">
        <f>"000155"</f>
        <v>000155</v>
      </c>
      <c r="M47" s="6">
        <v>43161</v>
      </c>
      <c r="N47" s="7">
        <v>17</v>
      </c>
      <c r="O47" s="7" t="str">
        <f>"004192"</f>
        <v>004192</v>
      </c>
      <c r="P47" s="6">
        <v>43679</v>
      </c>
      <c r="Q47" s="11">
        <v>20.754180000000002</v>
      </c>
      <c r="R47" s="11">
        <v>2.0801799999999999</v>
      </c>
      <c r="S47" s="11">
        <v>18.673999999999999</v>
      </c>
      <c r="T47" s="7">
        <v>144</v>
      </c>
      <c r="U47" s="6">
        <v>43684</v>
      </c>
      <c r="V47" s="7">
        <v>9845187748</v>
      </c>
      <c r="W47" s="10" t="s">
        <v>72</v>
      </c>
      <c r="X47" s="7" t="s">
        <v>45</v>
      </c>
      <c r="Y47" s="10" t="s">
        <v>46</v>
      </c>
      <c r="Z47" s="7" t="s">
        <v>61</v>
      </c>
      <c r="AA47" s="10" t="s">
        <v>62</v>
      </c>
      <c r="AB47" s="11">
        <f t="shared" si="1"/>
        <v>0.20754180000000003</v>
      </c>
    </row>
    <row r="48" spans="1:28" x14ac:dyDescent="0.35">
      <c r="A48" s="4">
        <v>5236</v>
      </c>
      <c r="B48" s="5" t="s">
        <v>164</v>
      </c>
      <c r="C48" s="6">
        <v>43696</v>
      </c>
      <c r="D48" s="7">
        <v>167</v>
      </c>
      <c r="E48" s="8" t="s">
        <v>63</v>
      </c>
      <c r="F48" s="7" t="s">
        <v>172</v>
      </c>
      <c r="G48" s="10" t="s">
        <v>173</v>
      </c>
      <c r="H48" s="7" t="str">
        <f>"000086"</f>
        <v>000086</v>
      </c>
      <c r="I48" s="6">
        <v>43167</v>
      </c>
      <c r="J48" s="7" t="str">
        <f>"000044"</f>
        <v>000044</v>
      </c>
      <c r="K48" s="6">
        <v>43168</v>
      </c>
      <c r="L48" s="7" t="str">
        <f>"000051"</f>
        <v>000051</v>
      </c>
      <c r="M48" s="6">
        <v>43174</v>
      </c>
      <c r="N48" s="7">
        <v>18</v>
      </c>
      <c r="O48" s="7" t="str">
        <f>"004471"</f>
        <v>004471</v>
      </c>
      <c r="P48" s="6">
        <v>43691</v>
      </c>
      <c r="Q48" s="11">
        <v>50.13212</v>
      </c>
      <c r="R48" s="11">
        <v>4.1333500000000001</v>
      </c>
      <c r="S48" s="11">
        <v>45.99877</v>
      </c>
      <c r="T48" s="7">
        <v>158</v>
      </c>
      <c r="U48" s="6">
        <v>43696</v>
      </c>
      <c r="V48" s="7">
        <v>9845231864</v>
      </c>
      <c r="W48" s="10" t="s">
        <v>174</v>
      </c>
      <c r="X48" s="7" t="s">
        <v>45</v>
      </c>
      <c r="Y48" s="10" t="s">
        <v>46</v>
      </c>
      <c r="Z48" s="7" t="s">
        <v>59</v>
      </c>
      <c r="AA48" s="10" t="s">
        <v>60</v>
      </c>
      <c r="AB48" s="11">
        <f t="shared" si="1"/>
        <v>0.50132120000000002</v>
      </c>
    </row>
    <row r="49" spans="1:28" x14ac:dyDescent="0.35">
      <c r="A49" s="4">
        <v>5237</v>
      </c>
      <c r="B49" s="5" t="s">
        <v>164</v>
      </c>
      <c r="C49" s="6">
        <v>43704</v>
      </c>
      <c r="D49" s="7">
        <v>167</v>
      </c>
      <c r="E49" s="8" t="s">
        <v>63</v>
      </c>
      <c r="F49" s="7" t="s">
        <v>175</v>
      </c>
      <c r="G49" s="10" t="s">
        <v>176</v>
      </c>
      <c r="H49" s="7" t="str">
        <f>"000085"</f>
        <v>000085</v>
      </c>
      <c r="I49" s="6">
        <v>43166</v>
      </c>
      <c r="J49" s="7" t="str">
        <f>"000045"</f>
        <v>000045</v>
      </c>
      <c r="K49" s="6">
        <v>43176</v>
      </c>
      <c r="L49" s="7" t="str">
        <f>"000056"</f>
        <v>000056</v>
      </c>
      <c r="M49" s="6">
        <v>43186</v>
      </c>
      <c r="N49" s="7">
        <v>18</v>
      </c>
      <c r="O49" s="7" t="str">
        <f>"004525"</f>
        <v>004525</v>
      </c>
      <c r="P49" s="6">
        <v>43693</v>
      </c>
      <c r="Q49" s="11">
        <v>4.93</v>
      </c>
      <c r="R49" s="11">
        <v>0.39939999999999998</v>
      </c>
      <c r="S49" s="11">
        <v>4.5305999999999997</v>
      </c>
      <c r="T49" s="7">
        <v>166</v>
      </c>
      <c r="U49" s="6">
        <v>43704</v>
      </c>
      <c r="V49" s="7">
        <v>9845231864</v>
      </c>
      <c r="W49" s="10" t="s">
        <v>177</v>
      </c>
      <c r="X49" s="7" t="s">
        <v>45</v>
      </c>
      <c r="Y49" s="10" t="s">
        <v>46</v>
      </c>
      <c r="Z49" s="7" t="s">
        <v>59</v>
      </c>
      <c r="AA49" s="10" t="s">
        <v>60</v>
      </c>
      <c r="AB49" s="11">
        <f t="shared" si="1"/>
        <v>4.9299999999999997E-2</v>
      </c>
    </row>
    <row r="50" spans="1:28" x14ac:dyDescent="0.35">
      <c r="A50" s="4">
        <v>5238</v>
      </c>
      <c r="B50" s="5" t="s">
        <v>178</v>
      </c>
      <c r="C50" s="6">
        <v>43720</v>
      </c>
      <c r="D50" s="7">
        <v>167</v>
      </c>
      <c r="E50" s="8" t="s">
        <v>63</v>
      </c>
      <c r="F50" s="7" t="s">
        <v>179</v>
      </c>
      <c r="G50" s="10" t="s">
        <v>180</v>
      </c>
      <c r="H50" s="7" t="str">
        <f>"000212"</f>
        <v>000212</v>
      </c>
      <c r="I50" s="6">
        <v>43182</v>
      </c>
      <c r="J50" s="7" t="str">
        <f>"000232"</f>
        <v>000232</v>
      </c>
      <c r="K50" s="6">
        <v>43555</v>
      </c>
      <c r="L50" s="7" t="str">
        <f>"000233"</f>
        <v>000233</v>
      </c>
      <c r="M50" s="6">
        <v>43555</v>
      </c>
      <c r="N50" s="7">
        <v>18</v>
      </c>
      <c r="O50" s="7" t="str">
        <f>"004933"</f>
        <v>004933</v>
      </c>
      <c r="P50" s="6">
        <v>43714</v>
      </c>
      <c r="Q50" s="11">
        <v>2</v>
      </c>
      <c r="R50" s="11">
        <v>6.2E-2</v>
      </c>
      <c r="S50" s="11">
        <v>1.9379999999999999</v>
      </c>
      <c r="T50" s="7">
        <v>183</v>
      </c>
      <c r="U50" s="6">
        <v>43720</v>
      </c>
      <c r="V50" s="7">
        <v>0</v>
      </c>
      <c r="W50" s="10" t="s">
        <v>181</v>
      </c>
      <c r="X50" s="7" t="s">
        <v>182</v>
      </c>
      <c r="Y50" s="10" t="s">
        <v>183</v>
      </c>
      <c r="Z50" s="7" t="s">
        <v>57</v>
      </c>
      <c r="AA50" s="10" t="s">
        <v>58</v>
      </c>
      <c r="AB50" s="11">
        <f t="shared" si="1"/>
        <v>0.02</v>
      </c>
    </row>
    <row r="51" spans="1:28" x14ac:dyDescent="0.35">
      <c r="A51" s="4">
        <v>5239</v>
      </c>
      <c r="B51" s="5" t="s">
        <v>178</v>
      </c>
      <c r="C51" s="6">
        <v>43726</v>
      </c>
      <c r="D51" s="7">
        <v>167</v>
      </c>
      <c r="E51" s="8" t="s">
        <v>63</v>
      </c>
      <c r="F51" s="7" t="s">
        <v>184</v>
      </c>
      <c r="G51" s="10" t="s">
        <v>185</v>
      </c>
      <c r="H51" s="7" t="str">
        <f>"000015"</f>
        <v>000015</v>
      </c>
      <c r="I51" s="6">
        <v>43594</v>
      </c>
      <c r="J51" s="7" t="str">
        <f>"000048"</f>
        <v>000048</v>
      </c>
      <c r="K51" s="6">
        <v>43645</v>
      </c>
      <c r="L51" s="7" t="str">
        <f>"000087"</f>
        <v>000087</v>
      </c>
      <c r="M51" s="6">
        <v>43645</v>
      </c>
      <c r="N51" s="7">
        <v>19</v>
      </c>
      <c r="O51" s="7" t="str">
        <f>"004999"</f>
        <v>004999</v>
      </c>
      <c r="P51" s="6">
        <v>43719</v>
      </c>
      <c r="Q51" s="11">
        <v>25.966239999999999</v>
      </c>
      <c r="R51" s="11">
        <v>2.4962399999999998</v>
      </c>
      <c r="S51" s="11">
        <v>23.47</v>
      </c>
      <c r="T51" s="7">
        <v>191</v>
      </c>
      <c r="U51" s="6">
        <v>43726</v>
      </c>
      <c r="V51" s="7">
        <v>9945088804</v>
      </c>
      <c r="W51" s="10" t="s">
        <v>109</v>
      </c>
      <c r="X51" s="7" t="s">
        <v>186</v>
      </c>
      <c r="Y51" s="10" t="s">
        <v>187</v>
      </c>
      <c r="Z51" s="7" t="s">
        <v>61</v>
      </c>
      <c r="AA51" s="10" t="s">
        <v>62</v>
      </c>
      <c r="AB51" s="11">
        <f t="shared" si="1"/>
        <v>0.25966240000000002</v>
      </c>
    </row>
    <row r="52" spans="1:28" x14ac:dyDescent="0.35">
      <c r="A52" s="4">
        <v>5240</v>
      </c>
      <c r="B52" s="5" t="s">
        <v>178</v>
      </c>
      <c r="C52" s="6">
        <v>43729</v>
      </c>
      <c r="D52" s="7">
        <v>167</v>
      </c>
      <c r="E52" s="8" t="s">
        <v>63</v>
      </c>
      <c r="F52" s="7" t="s">
        <v>188</v>
      </c>
      <c r="G52" s="10" t="s">
        <v>189</v>
      </c>
      <c r="H52" s="7" t="str">
        <f>"000089"</f>
        <v>000089</v>
      </c>
      <c r="I52" s="6">
        <v>43187</v>
      </c>
      <c r="J52" s="7" t="str">
        <f>"000050"</f>
        <v>000050</v>
      </c>
      <c r="K52" s="6">
        <v>43188</v>
      </c>
      <c r="L52" s="7" t="str">
        <f>"000001"</f>
        <v>000001</v>
      </c>
      <c r="M52" s="6">
        <v>43192</v>
      </c>
      <c r="N52" s="7">
        <v>18</v>
      </c>
      <c r="O52" s="7" t="str">
        <f>"005006"</f>
        <v>005006</v>
      </c>
      <c r="P52" s="6">
        <v>43719</v>
      </c>
      <c r="Q52" s="11">
        <v>53.64725</v>
      </c>
      <c r="R52" s="11">
        <v>4.7637499999999999</v>
      </c>
      <c r="S52" s="11">
        <v>48.883499999999998</v>
      </c>
      <c r="T52" s="7">
        <v>194</v>
      </c>
      <c r="U52" s="6">
        <v>43729</v>
      </c>
      <c r="V52" s="7">
        <v>9845187748</v>
      </c>
      <c r="W52" s="10" t="s">
        <v>80</v>
      </c>
      <c r="X52" s="7" t="s">
        <v>45</v>
      </c>
      <c r="Y52" s="10" t="s">
        <v>46</v>
      </c>
      <c r="Z52" s="7" t="s">
        <v>59</v>
      </c>
      <c r="AA52" s="10" t="s">
        <v>60</v>
      </c>
      <c r="AB52" s="11">
        <f t="shared" si="1"/>
        <v>0.53647250000000002</v>
      </c>
    </row>
    <row r="53" spans="1:28" x14ac:dyDescent="0.35">
      <c r="A53" s="4">
        <v>5241</v>
      </c>
      <c r="B53" s="5" t="s">
        <v>190</v>
      </c>
      <c r="C53" s="6">
        <v>43749</v>
      </c>
      <c r="D53" s="4">
        <v>167</v>
      </c>
      <c r="E53" s="8" t="s">
        <v>63</v>
      </c>
      <c r="F53" s="7" t="s">
        <v>135</v>
      </c>
      <c r="G53" s="8" t="s">
        <v>136</v>
      </c>
      <c r="H53" s="7" t="str">
        <f>"000061"</f>
        <v>000061</v>
      </c>
      <c r="I53" s="6">
        <v>43495</v>
      </c>
      <c r="J53" s="7" t="str">
        <f>"000055"</f>
        <v>000055</v>
      </c>
      <c r="K53" s="6">
        <v>43711</v>
      </c>
      <c r="L53" s="7" t="str">
        <f>"000056"</f>
        <v>000056</v>
      </c>
      <c r="M53" s="6">
        <v>43714</v>
      </c>
      <c r="N53" s="7">
        <v>17</v>
      </c>
      <c r="O53" s="7" t="str">
        <f>"005783"</f>
        <v>005783</v>
      </c>
      <c r="P53" s="6">
        <v>43754</v>
      </c>
      <c r="Q53" s="9">
        <v>50.362340000000003</v>
      </c>
      <c r="R53" s="9">
        <v>5.3306500000000003</v>
      </c>
      <c r="S53" s="9">
        <v>45.031689999999998</v>
      </c>
      <c r="T53" s="7">
        <v>13</v>
      </c>
      <c r="U53" s="6">
        <v>43749</v>
      </c>
      <c r="V53" s="7">
        <v>9845187748</v>
      </c>
      <c r="W53" s="8" t="s">
        <v>191</v>
      </c>
      <c r="X53" s="7" t="s">
        <v>53</v>
      </c>
      <c r="Y53" s="8" t="s">
        <v>54</v>
      </c>
      <c r="Z53" s="7" t="s">
        <v>59</v>
      </c>
      <c r="AA53" s="8" t="s">
        <v>60</v>
      </c>
      <c r="AB53" s="9">
        <v>0.50362340000000005</v>
      </c>
    </row>
    <row r="54" spans="1:28" x14ac:dyDescent="0.35">
      <c r="A54" s="4">
        <v>5242</v>
      </c>
      <c r="B54" s="5" t="s">
        <v>190</v>
      </c>
      <c r="C54" s="6">
        <v>43752</v>
      </c>
      <c r="D54" s="4">
        <v>167</v>
      </c>
      <c r="E54" s="8" t="s">
        <v>63</v>
      </c>
      <c r="F54" s="7" t="s">
        <v>192</v>
      </c>
      <c r="G54" s="8" t="s">
        <v>193</v>
      </c>
      <c r="H54" s="7" t="str">
        <f>"000042"</f>
        <v>000042</v>
      </c>
      <c r="I54" s="6">
        <v>42885</v>
      </c>
      <c r="J54" s="7" t="str">
        <f>"000063"</f>
        <v>000063</v>
      </c>
      <c r="K54" s="6">
        <v>43668</v>
      </c>
      <c r="L54" s="7" t="str">
        <f>"000116"</f>
        <v>000116</v>
      </c>
      <c r="M54" s="6">
        <v>43675</v>
      </c>
      <c r="N54" s="7">
        <v>17</v>
      </c>
      <c r="O54" s="7" t="str">
        <f>"005747"</f>
        <v>005747</v>
      </c>
      <c r="P54" s="6">
        <v>43749</v>
      </c>
      <c r="Q54" s="9">
        <v>12.4468</v>
      </c>
      <c r="R54" s="9">
        <v>1.1337999999999999</v>
      </c>
      <c r="S54" s="9">
        <v>11.313000000000001</v>
      </c>
      <c r="T54" s="7">
        <v>13</v>
      </c>
      <c r="U54" s="6">
        <v>43752</v>
      </c>
      <c r="V54" s="7">
        <v>9964218400</v>
      </c>
      <c r="W54" s="8" t="s">
        <v>194</v>
      </c>
      <c r="X54" s="7" t="s">
        <v>195</v>
      </c>
      <c r="Y54" s="8" t="s">
        <v>196</v>
      </c>
      <c r="Z54" s="7" t="s">
        <v>61</v>
      </c>
      <c r="AA54" s="8" t="s">
        <v>62</v>
      </c>
      <c r="AB54" s="9">
        <v>0.124468</v>
      </c>
    </row>
    <row r="55" spans="1:28" x14ac:dyDescent="0.35">
      <c r="A55" s="4">
        <v>5243</v>
      </c>
      <c r="B55" s="5" t="s">
        <v>190</v>
      </c>
      <c r="C55" s="6">
        <v>43752</v>
      </c>
      <c r="D55" s="4">
        <v>167</v>
      </c>
      <c r="E55" s="8" t="s">
        <v>63</v>
      </c>
      <c r="F55" s="7" t="s">
        <v>197</v>
      </c>
      <c r="G55" s="8" t="s">
        <v>198</v>
      </c>
      <c r="H55" s="7" t="str">
        <f>"000020"</f>
        <v>000020</v>
      </c>
      <c r="I55" s="6">
        <v>43285</v>
      </c>
      <c r="J55" s="7" t="str">
        <f>"000080"</f>
        <v>000080</v>
      </c>
      <c r="K55" s="6">
        <v>43460</v>
      </c>
      <c r="L55" s="7" t="str">
        <f>"000159"</f>
        <v>000159</v>
      </c>
      <c r="M55" s="6">
        <v>43460</v>
      </c>
      <c r="N55" s="7">
        <v>18</v>
      </c>
      <c r="O55" s="7" t="str">
        <f>"009857"</f>
        <v>009857</v>
      </c>
      <c r="P55" s="6">
        <v>43544</v>
      </c>
      <c r="Q55" s="9">
        <v>3.82396</v>
      </c>
      <c r="R55" s="9">
        <v>0.18682000000000001</v>
      </c>
      <c r="S55" s="9">
        <v>3.63714</v>
      </c>
      <c r="T55" s="7">
        <v>13</v>
      </c>
      <c r="U55" s="6">
        <v>43752</v>
      </c>
      <c r="V55" s="7">
        <v>0</v>
      </c>
      <c r="W55" s="8" t="s">
        <v>199</v>
      </c>
      <c r="X55" s="7" t="s">
        <v>200</v>
      </c>
      <c r="Y55" s="8" t="s">
        <v>201</v>
      </c>
      <c r="Z55" s="7" t="s">
        <v>57</v>
      </c>
      <c r="AA55" s="8" t="s">
        <v>58</v>
      </c>
      <c r="AB55" s="9">
        <v>3.8239599999999999E-2</v>
      </c>
    </row>
    <row r="56" spans="1:28" x14ac:dyDescent="0.35">
      <c r="A56" s="4">
        <v>5244</v>
      </c>
      <c r="B56" s="5" t="s">
        <v>190</v>
      </c>
      <c r="C56" s="6">
        <v>43754</v>
      </c>
      <c r="D56" s="4">
        <v>167</v>
      </c>
      <c r="E56" s="8" t="s">
        <v>63</v>
      </c>
      <c r="F56" s="7" t="s">
        <v>202</v>
      </c>
      <c r="G56" s="8" t="s">
        <v>203</v>
      </c>
      <c r="H56" s="7" t="str">
        <f>"000159"</f>
        <v>000159</v>
      </c>
      <c r="I56" s="6">
        <v>43498</v>
      </c>
      <c r="J56" s="7" t="str">
        <f>"000111"</f>
        <v>000111</v>
      </c>
      <c r="K56" s="6">
        <v>43554</v>
      </c>
      <c r="L56" s="7" t="str">
        <f>"000221"</f>
        <v>000221</v>
      </c>
      <c r="M56" s="6">
        <v>43554</v>
      </c>
      <c r="N56" s="7">
        <v>19</v>
      </c>
      <c r="O56" s="7" t="str">
        <f>"005740"</f>
        <v>005740</v>
      </c>
      <c r="P56" s="6">
        <v>43749</v>
      </c>
      <c r="Q56" s="9">
        <v>15.57165</v>
      </c>
      <c r="R56" s="9">
        <v>1.4756499999999999</v>
      </c>
      <c r="S56" s="9">
        <v>14.096</v>
      </c>
      <c r="T56" s="7">
        <v>13</v>
      </c>
      <c r="U56" s="6">
        <v>43754</v>
      </c>
      <c r="V56" s="7">
        <v>9945055566</v>
      </c>
      <c r="W56" s="8" t="s">
        <v>204</v>
      </c>
      <c r="X56" s="7" t="s">
        <v>205</v>
      </c>
      <c r="Y56" s="8" t="s">
        <v>206</v>
      </c>
      <c r="Z56" s="7" t="s">
        <v>61</v>
      </c>
      <c r="AA56" s="8" t="s">
        <v>62</v>
      </c>
      <c r="AB56" s="9">
        <v>0.15571650000000001</v>
      </c>
    </row>
    <row r="57" spans="1:28" x14ac:dyDescent="0.35">
      <c r="A57" s="4">
        <v>5245</v>
      </c>
      <c r="B57" s="5" t="s">
        <v>190</v>
      </c>
      <c r="C57" s="6">
        <v>43755</v>
      </c>
      <c r="D57" s="4">
        <v>167</v>
      </c>
      <c r="E57" s="8" t="s">
        <v>63</v>
      </c>
      <c r="F57" s="7" t="s">
        <v>135</v>
      </c>
      <c r="G57" s="8" t="s">
        <v>136</v>
      </c>
      <c r="H57" s="7" t="str">
        <f>"000061"</f>
        <v>000061</v>
      </c>
      <c r="I57" s="6">
        <v>43495</v>
      </c>
      <c r="J57" s="7" t="str">
        <f>"000055"</f>
        <v>000055</v>
      </c>
      <c r="K57" s="6">
        <v>43711</v>
      </c>
      <c r="L57" s="7" t="str">
        <f>"000056"</f>
        <v>000056</v>
      </c>
      <c r="M57" s="6">
        <v>43714</v>
      </c>
      <c r="N57" s="7">
        <v>17</v>
      </c>
      <c r="O57" s="7" t="str">
        <f>"005783"</f>
        <v>005783</v>
      </c>
      <c r="P57" s="6">
        <v>43754</v>
      </c>
      <c r="Q57" s="9">
        <v>76.922910000000002</v>
      </c>
      <c r="R57" s="9">
        <v>7.9891500000000004</v>
      </c>
      <c r="S57" s="9">
        <v>68.933760000000007</v>
      </c>
      <c r="T57" s="7">
        <v>13</v>
      </c>
      <c r="U57" s="6">
        <v>43755</v>
      </c>
      <c r="V57" s="7">
        <v>9845118582</v>
      </c>
      <c r="W57" s="8" t="s">
        <v>137</v>
      </c>
      <c r="X57" s="7" t="s">
        <v>53</v>
      </c>
      <c r="Y57" s="8" t="s">
        <v>54</v>
      </c>
      <c r="Z57" s="7" t="s">
        <v>59</v>
      </c>
      <c r="AA57" s="8" t="s">
        <v>60</v>
      </c>
      <c r="AB57" s="9">
        <v>0.7692291</v>
      </c>
    </row>
    <row r="58" spans="1:28" x14ac:dyDescent="0.35">
      <c r="A58" s="4">
        <v>5246</v>
      </c>
      <c r="B58" s="5" t="s">
        <v>207</v>
      </c>
      <c r="C58" s="6">
        <v>43805</v>
      </c>
      <c r="D58" s="4">
        <v>167</v>
      </c>
      <c r="E58" s="8" t="s">
        <v>63</v>
      </c>
      <c r="F58" s="7" t="s">
        <v>64</v>
      </c>
      <c r="G58" s="8" t="s">
        <v>65</v>
      </c>
      <c r="H58" s="7" t="str">
        <f>"000012"</f>
        <v>000012</v>
      </c>
      <c r="I58" s="6">
        <v>42825</v>
      </c>
      <c r="J58" s="7" t="str">
        <f>"000201"</f>
        <v>000201</v>
      </c>
      <c r="K58" s="6">
        <v>43776</v>
      </c>
      <c r="L58" s="7" t="str">
        <f>"000201"</f>
        <v>000201</v>
      </c>
      <c r="M58" s="6">
        <v>43777</v>
      </c>
      <c r="N58" s="7">
        <v>16</v>
      </c>
      <c r="O58" s="7" t="str">
        <f>"006584"</f>
        <v>006584</v>
      </c>
      <c r="P58" s="6">
        <v>43803</v>
      </c>
      <c r="Q58" s="9">
        <v>4.2032600000000002</v>
      </c>
      <c r="R58" s="9">
        <v>0.32242999999999999</v>
      </c>
      <c r="S58" s="9">
        <v>3.88083</v>
      </c>
      <c r="T58" s="7">
        <v>13</v>
      </c>
      <c r="U58" s="6">
        <v>43805</v>
      </c>
      <c r="V58" s="7">
        <v>0</v>
      </c>
      <c r="W58" s="8" t="s">
        <v>66</v>
      </c>
      <c r="X58" s="7" t="s">
        <v>38</v>
      </c>
      <c r="Y58" s="8" t="s">
        <v>37</v>
      </c>
      <c r="Z58" s="7" t="s">
        <v>57</v>
      </c>
      <c r="AA58" s="8" t="s">
        <v>58</v>
      </c>
      <c r="AB58" s="9">
        <v>4.2032600000000003E-2</v>
      </c>
    </row>
    <row r="59" spans="1:28" x14ac:dyDescent="0.35">
      <c r="A59" s="4">
        <v>5247</v>
      </c>
      <c r="B59" s="5" t="s">
        <v>207</v>
      </c>
      <c r="C59" s="6">
        <v>43809</v>
      </c>
      <c r="D59" s="4">
        <v>167</v>
      </c>
      <c r="E59" s="8" t="s">
        <v>63</v>
      </c>
      <c r="F59" s="7" t="s">
        <v>208</v>
      </c>
      <c r="G59" s="8" t="s">
        <v>209</v>
      </c>
      <c r="H59" s="7" t="str">
        <f>"000202"</f>
        <v>000202</v>
      </c>
      <c r="I59" s="6">
        <v>43176</v>
      </c>
      <c r="J59" s="7" t="str">
        <f>"000113"</f>
        <v>000113</v>
      </c>
      <c r="K59" s="6">
        <v>43370</v>
      </c>
      <c r="L59" s="7" t="str">
        <f>"000111"</f>
        <v>000111</v>
      </c>
      <c r="M59" s="6">
        <v>43370</v>
      </c>
      <c r="N59" s="7">
        <v>18</v>
      </c>
      <c r="O59" s="7" t="str">
        <f>"006622"</f>
        <v>006622</v>
      </c>
      <c r="P59" s="6">
        <v>43803</v>
      </c>
      <c r="Q59" s="9">
        <v>9.7691199999999991</v>
      </c>
      <c r="R59" s="9">
        <v>0.49822</v>
      </c>
      <c r="S59" s="9">
        <v>9.2708999999999993</v>
      </c>
      <c r="T59" s="7">
        <v>13</v>
      </c>
      <c r="U59" s="6">
        <v>43809</v>
      </c>
      <c r="V59" s="7">
        <v>0</v>
      </c>
      <c r="W59" s="8" t="s">
        <v>210</v>
      </c>
      <c r="X59" s="7" t="s">
        <v>182</v>
      </c>
      <c r="Y59" s="8" t="s">
        <v>183</v>
      </c>
      <c r="Z59" s="7" t="s">
        <v>57</v>
      </c>
      <c r="AA59" s="8" t="s">
        <v>58</v>
      </c>
      <c r="AB59" s="9">
        <v>9.7691199999999992E-2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2020-01-30T07:01:17Z</dcterms:modified>
</cp:coreProperties>
</file>