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1" l="1"/>
  <c r="L45" i="1"/>
  <c r="J45" i="1"/>
  <c r="H45" i="1"/>
  <c r="O44" i="1"/>
  <c r="L44" i="1"/>
  <c r="J44" i="1"/>
  <c r="H44" i="1"/>
  <c r="O43" i="1"/>
  <c r="L43" i="1"/>
  <c r="J43" i="1"/>
  <c r="H43"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<sst xmlns="http://schemas.openxmlformats.org/spreadsheetml/2006/main" count="424" uniqueCount="193">
  <si>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</si>
  <si>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</si>
  <si>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</si>
  <si>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</si>
  <si>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</si>
  <si>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</si>
  <si>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</si>
  <si>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</si>
  <si>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</si>
  <si>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</si>
  <si>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</si>
  <si>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</si>
  <si>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</si>
  <si>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</si>
  <si>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</si>
  <si>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</si>
  <si>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</si>
  <si>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</si>
  <si>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</si>
  <si>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</si>
  <si>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</si>
  <si>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</si>
  <si>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</si>
  <si>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</si>
  <si>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</si>
  <si>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</si>
  <si>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</si>
  <si>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</si>
  <si>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</si>
  <si>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</si>
  <si>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</si>
  <si>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</si>
  <si>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</si>
  <si>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P2415</t>
  </si>
  <si>
    <t>Reserve fund for TandF Committee</t>
  </si>
  <si>
    <t>M and R to Street Lights - Replacement of Burnt Bulbs etc. (Package)</t>
  </si>
  <si>
    <t>P0300</t>
  </si>
  <si>
    <t>P3111</t>
  </si>
  <si>
    <t>State Finance Commission Untied Grant Works</t>
  </si>
  <si>
    <t>P0190</t>
  </si>
  <si>
    <t>Works sanctioned by Hon Mayor</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</si>
  <si>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</si>
  <si>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</si>
  <si>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ddo258</t>
  </si>
  <si>
    <t xml:space="preserve"> Executive Engineer Electrical South Zone</t>
  </si>
  <si>
    <t>ddo422</t>
  </si>
  <si>
    <t xml:space="preserve"> Executive Engineer Project - South Zone</t>
  </si>
  <si>
    <t>ddo271</t>
  </si>
  <si>
    <t xml:space="preserve"> Assistant Executive Engineer Jayanagar South Zone</t>
  </si>
  <si>
    <t>M/s Sai Constructions Pro. R Abhilash</t>
  </si>
  <si>
    <t>Byrasandra</t>
  </si>
  <si>
    <t>169-18-000016</t>
  </si>
  <si>
    <t>Building repair works to swagath Quarters at 30th Cross road in ward no 169 Byrasandra</t>
  </si>
  <si>
    <t>D.G. JAGADEESH</t>
  </si>
  <si>
    <t>169-16-000001</t>
  </si>
  <si>
    <t>Operation and Maintenance of Street Lighting System in Ward No.169 Package S-12 of South Zone</t>
  </si>
  <si>
    <t>M/S Sri Chamundeshwari Electricals</t>
  </si>
  <si>
    <t>169-16-000003</t>
  </si>
  <si>
    <t>Maintainance of Roads Footpath and Removal of debris in Ward No.169 Byrasandra</t>
  </si>
  <si>
    <t>Yankanagowda</t>
  </si>
  <si>
    <t>169-16-000012</t>
  </si>
  <si>
    <t>Improvements and Developmental works to Parks in ward No.169 Byrasandra</t>
  </si>
  <si>
    <t>M.Channabasavanna</t>
  </si>
  <si>
    <t>169-17-000022</t>
  </si>
  <si>
    <t>Concreting of roads at Nakkalubande slum in Ward No169 Byrasandra</t>
  </si>
  <si>
    <t>169-17-000012</t>
  </si>
  <si>
    <t>Emergency works in Ward No169 Byrasandra</t>
  </si>
  <si>
    <t>C H Narayana Swamy</t>
  </si>
  <si>
    <t>169-17-000030</t>
  </si>
  <si>
    <t>Special Repairs to MS Building 1st and 2nd and Improvements to drain and footpath at 31st cross From Usha Apartments to 22nd main road in ward no 169</t>
  </si>
  <si>
    <t>G N Prasanna</t>
  </si>
  <si>
    <t>P3174</t>
  </si>
  <si>
    <t>Special development works in ward No. 188, 141, 169, 82, 58,  (Rs.300 lakhs each ward)</t>
  </si>
  <si>
    <t>169-17-000002</t>
  </si>
  <si>
    <t>Improvements to balance work in Swimming pool park in ward no 169</t>
  </si>
  <si>
    <t>M.S.Mani Naidu</t>
  </si>
  <si>
    <t>169-15-000028</t>
  </si>
  <si>
    <t>Providing Art work and Name Boards to Buildings and Entrance gates at KIttur Rani Chennamma Stadium in ward no 169 Byrasandra</t>
  </si>
  <si>
    <t>C.S.Drvaraj</t>
  </si>
  <si>
    <t>169-17-000029</t>
  </si>
  <si>
    <t>Improvements to Drain Culverts to 27th and 27th B main and road Concrete to damaged roads in between 31st cross and 30th crossTilaknagar in ward no 169</t>
  </si>
  <si>
    <t>D G Jagadeesh</t>
  </si>
  <si>
    <t>169-17-000019</t>
  </si>
  <si>
    <t>Concreting of roads to 4th main byrasandra and 8th A cross near muslim colony in Ward No169 Byrasandra</t>
  </si>
  <si>
    <t>B C Sukumar</t>
  </si>
  <si>
    <t>169-19-000010</t>
  </si>
  <si>
    <t>Improvements to roads and drain at 2nd cross and 4th A cross of K V Layout  in ward no 169 Byrasandra</t>
  </si>
  <si>
    <t>K S Srinivasan</t>
  </si>
  <si>
    <t>169-19-000011</t>
  </si>
  <si>
    <t>Improvements to roads and drain at 4th cross 2nd cross and 3rd cross  of K V Layout  in ward no 169 Byrasandra</t>
  </si>
  <si>
    <t>July</t>
  </si>
  <si>
    <t>169-19-000036</t>
  </si>
  <si>
    <t>Providing Water tanks and Water line to Swagath Quarters in ward no 169 Byrasandra</t>
  </si>
  <si>
    <t>B. ESHWARAIAH</t>
  </si>
  <si>
    <t>P3293</t>
  </si>
  <si>
    <t>14th Finance Commission Works - Drinking Water</t>
  </si>
  <si>
    <t>169-19-000044</t>
  </si>
  <si>
    <t>Reconstruction of damaged storm water drain from 10th cross Byrasandra to 30th cross swagath road in ward no 169 Byrasandra</t>
  </si>
  <si>
    <t>B ESHWARAIAH</t>
  </si>
  <si>
    <t>P3297</t>
  </si>
  <si>
    <t>14th Finance Commission Grants - SWD Works</t>
  </si>
  <si>
    <t>169-19-000012</t>
  </si>
  <si>
    <t>Improvements to drains at 10th B Main and 1st A cross BDA Layout and surroundings in ward no 169</t>
  </si>
  <si>
    <t>G. K. MARUTI KUMAR</t>
  </si>
  <si>
    <t>169-19-000013</t>
  </si>
  <si>
    <t>Improvements to drains at Mountain street and surrounding cross roads in ward no 169 Byrasandra</t>
  </si>
  <si>
    <t>M Jayanth</t>
  </si>
  <si>
    <t>169-17-000037</t>
  </si>
  <si>
    <t>Annual Maintenance of all Telephones and Broad Band Systems in Jayanagar Shopping Complex 4th Block in ward no 169.</t>
  </si>
  <si>
    <t>P.K.Enterprises (Mangala.C)</t>
  </si>
  <si>
    <t>P0303</t>
  </si>
  <si>
    <t>M and R to Pumpsets, Lifts, DG Sets, Wireless sets and Internal Telephone Exchange</t>
  </si>
  <si>
    <t>169-17-000036</t>
  </si>
  <si>
    <t>Annual maintenance of Air Conditioners at BBMP building and Shopping complex in 3rd and 4th Block Jayanagara in Ward No.169 for a Period of One Year</t>
  </si>
  <si>
    <t>M/S P K Enterprises</t>
  </si>
  <si>
    <t>P0298</t>
  </si>
  <si>
    <t>M and R to Electrical Installations in Parks and Gardens, Playgrounds, Burial Grounds</t>
  </si>
  <si>
    <t>169-19-000022</t>
  </si>
  <si>
    <t>Providing sanitary lines in Kaveramma slum in ward no 169 Byrasandra</t>
  </si>
  <si>
    <t>G.K. MARUTI KUMAR</t>
  </si>
  <si>
    <t>P3295</t>
  </si>
  <si>
    <t>14th Finance Commission Works - UGD Works</t>
  </si>
  <si>
    <t>169-19-000027</t>
  </si>
  <si>
    <t>Office maintenance at Community Hall in ward no 169 Byrasandra</t>
  </si>
  <si>
    <t xml:space="preserve">g suresh raju, </t>
  </si>
  <si>
    <t>P3291</t>
  </si>
  <si>
    <t>14th Fin -Maintenance of Cremotorium, Burial Grounds</t>
  </si>
  <si>
    <t>169-19-000029</t>
  </si>
  <si>
    <t>Maintenance of LIC Colony Park in ward no 169 Byrasandra</t>
  </si>
  <si>
    <t>P3292</t>
  </si>
  <si>
    <t>14th Finance Commission Works - Community Property Maintenance (including Parks)</t>
  </si>
  <si>
    <t>169-19-000031</t>
  </si>
  <si>
    <t>Maintenance of Byrasandra Park in ward no 169 Byrasandra</t>
  </si>
  <si>
    <t>169-19-000032</t>
  </si>
  <si>
    <t>Maintenance of Dry Waste Collection Centre in ward no 169 Byrasandra</t>
  </si>
  <si>
    <t>G. SURESH RAJU,</t>
  </si>
  <si>
    <t>P3298</t>
  </si>
  <si>
    <t>14th Finance Commission Works - SWM Works</t>
  </si>
  <si>
    <t>169-19-000037</t>
  </si>
  <si>
    <t>Providing Drinking Water facilities in ward no 169 Byrasandra</t>
  </si>
  <si>
    <t xml:space="preserve">HARISH . L </t>
  </si>
  <si>
    <t>September</t>
  </si>
  <si>
    <t>169-19-000039</t>
  </si>
  <si>
    <t>Repairs public toilet building at Byrasandra bus stop in ward no 169 Byrasandra</t>
  </si>
  <si>
    <t>NAVEEN Y.J</t>
  </si>
  <si>
    <t>P3294</t>
  </si>
  <si>
    <t>14th Finance Commission Works - General Public ToiletandSeptage Maintenance</t>
  </si>
  <si>
    <t>169-19-000038</t>
  </si>
  <si>
    <t>Repairs to toilet room at community hall in ward no 169 Byrasandra</t>
  </si>
  <si>
    <t>NAVEEN Y.J.</t>
  </si>
  <si>
    <t>169-19-000042</t>
  </si>
  <si>
    <t>Improvements to drains and footpath at 27th cross in 4th Block Jayanagara in ward no 169 Byrasandra</t>
  </si>
  <si>
    <t>NAVEEN .J</t>
  </si>
  <si>
    <t>P3296</t>
  </si>
  <si>
    <t>14th Finance Commission Works - Road and Footpath Maintenance</t>
  </si>
  <si>
    <t>169-19-000033</t>
  </si>
  <si>
    <t>Beautification of Block Spots at Byrasandra and Maintenance of shreeder and chopping machins in ward no 169 Byrasandra</t>
  </si>
  <si>
    <t>Venkataramana swamy ramesh babu (Arya na co-formerly known as ramamurty and co.</t>
  </si>
  <si>
    <t>169-19-000021</t>
  </si>
  <si>
    <t>Providing sanitary work at Swagath Quarters at 30th cross in ward no 169 Byrasandra</t>
  </si>
  <si>
    <t>M.SWAMY</t>
  </si>
  <si>
    <t>October</t>
  </si>
  <si>
    <t>169-19-000018</t>
  </si>
  <si>
    <t>Construction of culverts at 1st main Byrasandra Bus Stop and other cross roads in Byrasandra</t>
  </si>
  <si>
    <t>169-19-000026</t>
  </si>
  <si>
    <t>Ward office maintenance in ward no 169 Byrasandra</t>
  </si>
  <si>
    <t>N. SUSHANTH</t>
  </si>
  <si>
    <t>169-19-000041</t>
  </si>
  <si>
    <t>Improvements to drains and footpath at 3rd block and 4th block Jayanagara and surrounding areas in ward no 169 Byrasandra</t>
  </si>
  <si>
    <t>HITESH KUMAR S</t>
  </si>
  <si>
    <t>169-19-000051</t>
  </si>
  <si>
    <t>Construction of Shelter over computer center (Second floor) in Nakkal Bande slum and improvements to adjacent road drains in ward no.169 Byrasandra</t>
  </si>
  <si>
    <t>Harish L</t>
  </si>
  <si>
    <t>P3409</t>
  </si>
  <si>
    <t>SFC Untied SC-SP/TSP Grant works</t>
  </si>
  <si>
    <t>November</t>
  </si>
  <si>
    <t>169-19-000015</t>
  </si>
  <si>
    <t>Improvements to drain at 30th cross from Usha apartment circle to 14th main of K V Layout in ward no 169 Byrasandra</t>
  </si>
  <si>
    <t>G.K. Maruthi Kumar</t>
  </si>
  <si>
    <t>169-19-000017</t>
  </si>
  <si>
    <t>Improvements to drains at 11th cross and 2nd main of LIC Colony in ward no 169 Byrasandra</t>
  </si>
  <si>
    <t>Raghunandan.M</t>
  </si>
  <si>
    <t>169-19-000014</t>
  </si>
  <si>
    <t>Improvements to roads and drains at 4th B Cross of K V Layout in ward no 169 Byrasandra</t>
  </si>
  <si>
    <t>JAYANTH.M</t>
  </si>
  <si>
    <t>169-19-000052</t>
  </si>
  <si>
    <t>Improvements to drains at 14th Main form 32nd cross to 23rd B Cross and surrounding of Nakkal Bande slum in Ward no.169 Byrasandra</t>
  </si>
  <si>
    <t>HITESH KUMAR. S</t>
  </si>
  <si>
    <t>December</t>
  </si>
  <si>
    <t>169-19-000020</t>
  </si>
  <si>
    <t>Providing sanitary lines in Nakkalibande slum in ward no 169 Byrasandra</t>
  </si>
  <si>
    <t>169-19-000043</t>
  </si>
  <si>
    <t>Improvements to drains at 23rd B cross from 16th A Main to 12th main and surrounding in ward no 169 Byrasandra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</si>
</sst>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workbookViewId="0">
      <selection activeCell="A2" sqref="A2:XFD45"/>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5275</v>
      </c>
      <c r="B2" s="5" t="s">
        <v>28</v>
      </c>
      <c r="C2" s="6">
        <v>43566</v>
      </c>
      <c r="D2" s="7">
        <v>169</v>
      </c>
      <c r="E2" s="8" t="s">
        <v>50</v>
      </c>
      <c r="F2" s="7" t="s">
        <v>51</v>
      </c>
      <c r="G2" s="8" t="s">
        <v>52</v>
      </c>
      <c r="H2" s="7" t="str">
        <f>"000110"</f>
        <v>000110</v>
      </c>
      <c r="I2" s="6">
        <v>43276</v>
      </c>
      <c r="J2" s="7" t="str">
        <f>"000028"</f>
        <v>000028</v>
      </c>
      <c r="K2" s="6">
        <v>43290</v>
      </c>
      <c r="L2" s="7" t="str">
        <f>"000045"</f>
        <v>000045</v>
      </c>
      <c r="M2" s="6">
        <v>43291</v>
      </c>
      <c r="N2" s="7">
        <v>18</v>
      </c>
      <c r="O2" s="7" t="str">
        <f>"000221"</f>
        <v>000221</v>
      </c>
      <c r="P2" s="6">
        <v>43564</v>
      </c>
      <c r="Q2" s="9">
        <v>43.028820000000003</v>
      </c>
      <c r="R2" s="9">
        <v>1.8210999999999999</v>
      </c>
      <c r="S2" s="9">
        <v>41.207720000000002</v>
      </c>
      <c r="T2" s="7">
        <v>11</v>
      </c>
      <c r="U2" s="6">
        <v>43566</v>
      </c>
      <c r="V2" s="7">
        <v>9611673328</v>
      </c>
      <c r="W2" s="8" t="s">
        <v>53</v>
      </c>
      <c r="X2" s="7" t="s">
        <v>41</v>
      </c>
      <c r="Y2" s="8" t="s">
        <v>42</v>
      </c>
      <c r="Z2" s="7" t="s">
        <v>47</v>
      </c>
      <c r="AA2" s="8" t="s">
        <v>48</v>
      </c>
      <c r="AB2" s="9">
        <f t="shared" ref="AB2:AB13" si="0">Q2/100</f>
        <v>0.43028820000000001</v>
      </c>
    </row>
    <row r="3" spans="1:28" x14ac:dyDescent="0.35">
      <c r="A3" s="4">
        <v>5276</v>
      </c>
      <c r="B3" s="5" t="s">
        <v>28</v>
      </c>
      <c r="C3" s="6">
        <v>43567</v>
      </c>
      <c r="D3" s="7">
        <v>169</v>
      </c>
      <c r="E3" s="8" t="s">
        <v>50</v>
      </c>
      <c r="F3" s="7" t="s">
        <v>54</v>
      </c>
      <c r="G3" s="8" t="s">
        <v>55</v>
      </c>
      <c r="H3" s="7" t="str">
        <f>"000014"</f>
        <v>000014</v>
      </c>
      <c r="I3" s="6">
        <v>42934</v>
      </c>
      <c r="J3" s="7" t="str">
        <f>"000013"</f>
        <v>000013</v>
      </c>
      <c r="K3" s="6">
        <v>43595</v>
      </c>
      <c r="L3" s="7" t="str">
        <f>"000015"</f>
        <v>000015</v>
      </c>
      <c r="M3" s="6">
        <v>43595</v>
      </c>
      <c r="N3" s="7">
        <v>16</v>
      </c>
      <c r="O3" s="7" t="str">
        <f>""</f>
        <v/>
      </c>
      <c r="P3" s="6"/>
      <c r="Q3" s="9">
        <v>6.9689399999999999</v>
      </c>
      <c r="R3" s="9">
        <v>0.58479999999999999</v>
      </c>
      <c r="S3" s="9">
        <v>6.3841400000000004</v>
      </c>
      <c r="T3" s="7">
        <v>17</v>
      </c>
      <c r="U3" s="6">
        <v>43567</v>
      </c>
      <c r="V3" s="7">
        <v>0</v>
      </c>
      <c r="W3" s="8" t="s">
        <v>56</v>
      </c>
      <c r="X3" s="7" t="s">
        <v>36</v>
      </c>
      <c r="Y3" s="8" t="s">
        <v>35</v>
      </c>
      <c r="Z3" s="7" t="s">
        <v>43</v>
      </c>
      <c r="AA3" s="8" t="s">
        <v>44</v>
      </c>
      <c r="AB3" s="9">
        <f t="shared" si="0"/>
        <v>6.9689399999999999E-2</v>
      </c>
    </row>
    <row r="4" spans="1:28" x14ac:dyDescent="0.35">
      <c r="A4" s="4">
        <v>5277</v>
      </c>
      <c r="B4" s="5" t="s">
        <v>28</v>
      </c>
      <c r="C4" s="6">
        <v>43575</v>
      </c>
      <c r="D4" s="7">
        <v>169</v>
      </c>
      <c r="E4" s="8" t="s">
        <v>50</v>
      </c>
      <c r="F4" s="7" t="s">
        <v>54</v>
      </c>
      <c r="G4" s="8" t="s">
        <v>55</v>
      </c>
      <c r="H4" s="7" t="str">
        <f>"000014"</f>
        <v>000014</v>
      </c>
      <c r="I4" s="6">
        <v>42934</v>
      </c>
      <c r="J4" s="7" t="str">
        <f>"000013"</f>
        <v>000013</v>
      </c>
      <c r="K4" s="6">
        <v>43595</v>
      </c>
      <c r="L4" s="7" t="str">
        <f>"000015"</f>
        <v>000015</v>
      </c>
      <c r="M4" s="6">
        <v>43595</v>
      </c>
      <c r="N4" s="7">
        <v>16</v>
      </c>
      <c r="O4" s="7" t="str">
        <f>""</f>
        <v/>
      </c>
      <c r="P4" s="6"/>
      <c r="Q4" s="9">
        <v>4.3555900000000003</v>
      </c>
      <c r="R4" s="9">
        <v>0.38491999999999998</v>
      </c>
      <c r="S4" s="9">
        <v>3.9706700000000001</v>
      </c>
      <c r="T4" s="7">
        <v>20</v>
      </c>
      <c r="U4" s="6">
        <v>43575</v>
      </c>
      <c r="V4" s="7">
        <v>0</v>
      </c>
      <c r="W4" s="8" t="s">
        <v>56</v>
      </c>
      <c r="X4" s="7" t="s">
        <v>36</v>
      </c>
      <c r="Y4" s="8" t="s">
        <v>35</v>
      </c>
      <c r="Z4" s="7" t="s">
        <v>43</v>
      </c>
      <c r="AA4" s="8" t="s">
        <v>44</v>
      </c>
      <c r="AB4" s="9">
        <f t="shared" si="0"/>
        <v>4.3555900000000002E-2</v>
      </c>
    </row>
    <row r="5" spans="1:28" x14ac:dyDescent="0.35">
      <c r="A5" s="4">
        <v>5278</v>
      </c>
      <c r="B5" s="5" t="s">
        <v>28</v>
      </c>
      <c r="C5" s="6">
        <v>43582</v>
      </c>
      <c r="D5" s="7">
        <v>169</v>
      </c>
      <c r="E5" s="8" t="s">
        <v>50</v>
      </c>
      <c r="F5" s="7" t="s">
        <v>57</v>
      </c>
      <c r="G5" s="8" t="s">
        <v>58</v>
      </c>
      <c r="H5" s="7" t="str">
        <f>"000012"</f>
        <v>000012</v>
      </c>
      <c r="I5" s="6">
        <v>42505</v>
      </c>
      <c r="J5" s="7" t="str">
        <f>"000025"</f>
        <v>000025</v>
      </c>
      <c r="K5" s="6">
        <v>43073</v>
      </c>
      <c r="L5" s="7" t="str">
        <f>"000077"</f>
        <v>000077</v>
      </c>
      <c r="M5" s="6">
        <v>43150</v>
      </c>
      <c r="N5" s="7">
        <v>16</v>
      </c>
      <c r="O5" s="7" t="str">
        <f>"001046"</f>
        <v>001046</v>
      </c>
      <c r="P5" s="6">
        <v>43580</v>
      </c>
      <c r="Q5" s="9">
        <v>11.793060000000001</v>
      </c>
      <c r="R5" s="9">
        <v>0.2477</v>
      </c>
      <c r="S5" s="9">
        <v>11.545360000000001</v>
      </c>
      <c r="T5" s="7">
        <v>31</v>
      </c>
      <c r="U5" s="6">
        <v>43582</v>
      </c>
      <c r="V5" s="7">
        <v>9483501967</v>
      </c>
      <c r="W5" s="8" t="s">
        <v>59</v>
      </c>
      <c r="X5" s="7" t="s">
        <v>30</v>
      </c>
      <c r="Y5" s="8" t="s">
        <v>31</v>
      </c>
      <c r="Z5" s="7" t="s">
        <v>47</v>
      </c>
      <c r="AA5" s="8" t="s">
        <v>48</v>
      </c>
      <c r="AB5" s="9">
        <f t="shared" si="0"/>
        <v>0.11793060000000001</v>
      </c>
    </row>
    <row r="6" spans="1:28" x14ac:dyDescent="0.35">
      <c r="A6" s="4">
        <v>5279</v>
      </c>
      <c r="B6" s="5" t="s">
        <v>32</v>
      </c>
      <c r="C6" s="6">
        <v>43603</v>
      </c>
      <c r="D6" s="7">
        <v>169</v>
      </c>
      <c r="E6" s="8" t="s">
        <v>50</v>
      </c>
      <c r="F6" s="7" t="s">
        <v>60</v>
      </c>
      <c r="G6" s="8" t="s">
        <v>61</v>
      </c>
      <c r="H6" s="7" t="str">
        <f>"00 147"</f>
        <v>00 147</v>
      </c>
      <c r="I6" s="6">
        <v>42817</v>
      </c>
      <c r="J6" s="7" t="str">
        <f>"000003"</f>
        <v>000003</v>
      </c>
      <c r="K6" s="6">
        <v>42990</v>
      </c>
      <c r="L6" s="7" t="str">
        <f>"000008"</f>
        <v>000008</v>
      </c>
      <c r="M6" s="6">
        <v>42991</v>
      </c>
      <c r="N6" s="7">
        <v>16</v>
      </c>
      <c r="O6" s="7" t="str">
        <f>"001664"</f>
        <v>001664</v>
      </c>
      <c r="P6" s="6">
        <v>43602</v>
      </c>
      <c r="Q6" s="9">
        <v>5.1779400000000004</v>
      </c>
      <c r="R6" s="9">
        <v>0.58298000000000005</v>
      </c>
      <c r="S6" s="9">
        <v>4.5949600000000004</v>
      </c>
      <c r="T6" s="7">
        <v>50</v>
      </c>
      <c r="U6" s="6">
        <v>43603</v>
      </c>
      <c r="V6" s="7">
        <v>9740408436</v>
      </c>
      <c r="W6" s="8" t="s">
        <v>62</v>
      </c>
      <c r="X6" s="7" t="s">
        <v>30</v>
      </c>
      <c r="Y6" s="8" t="s">
        <v>31</v>
      </c>
      <c r="Z6" s="7" t="s">
        <v>45</v>
      </c>
      <c r="AA6" s="8" t="s">
        <v>46</v>
      </c>
      <c r="AB6" s="9">
        <f t="shared" si="0"/>
        <v>5.1779400000000003E-2</v>
      </c>
    </row>
    <row r="7" spans="1:28" x14ac:dyDescent="0.35">
      <c r="A7" s="4">
        <v>5280</v>
      </c>
      <c r="B7" s="5" t="s">
        <v>32</v>
      </c>
      <c r="C7" s="6">
        <v>43603</v>
      </c>
      <c r="D7" s="7">
        <v>169</v>
      </c>
      <c r="E7" s="8" t="s">
        <v>50</v>
      </c>
      <c r="F7" s="7" t="s">
        <v>63</v>
      </c>
      <c r="G7" s="8" t="s">
        <v>64</v>
      </c>
      <c r="H7" s="7" t="str">
        <f>"000092"</f>
        <v>000092</v>
      </c>
      <c r="I7" s="6">
        <v>42885</v>
      </c>
      <c r="J7" s="7" t="str">
        <f>"000005"</f>
        <v>000005</v>
      </c>
      <c r="K7" s="6">
        <v>42973</v>
      </c>
      <c r="L7" s="7" t="str">
        <f>"000015"</f>
        <v>000015</v>
      </c>
      <c r="M7" s="6">
        <v>43024</v>
      </c>
      <c r="N7" s="7">
        <v>17</v>
      </c>
      <c r="O7" s="7" t="str">
        <f>"001682"</f>
        <v>001682</v>
      </c>
      <c r="P7" s="6">
        <v>43602</v>
      </c>
      <c r="Q7" s="9">
        <v>15.38725</v>
      </c>
      <c r="R7" s="9">
        <v>1.15154</v>
      </c>
      <c r="S7" s="9">
        <v>14.235709999999999</v>
      </c>
      <c r="T7" s="7">
        <v>50</v>
      </c>
      <c r="U7" s="6">
        <v>43603</v>
      </c>
      <c r="V7" s="7">
        <v>8147448595</v>
      </c>
      <c r="W7" s="8" t="s">
        <v>49</v>
      </c>
      <c r="X7" s="7" t="s">
        <v>30</v>
      </c>
      <c r="Y7" s="8" t="s">
        <v>31</v>
      </c>
      <c r="Z7" s="7" t="s">
        <v>47</v>
      </c>
      <c r="AA7" s="8" t="s">
        <v>48</v>
      </c>
      <c r="AB7" s="9">
        <f t="shared" si="0"/>
        <v>0.1538725</v>
      </c>
    </row>
    <row r="8" spans="1:28" x14ac:dyDescent="0.35">
      <c r="A8" s="4">
        <v>5281</v>
      </c>
      <c r="B8" s="5" t="s">
        <v>32</v>
      </c>
      <c r="C8" s="6">
        <v>43603</v>
      </c>
      <c r="D8" s="7">
        <v>169</v>
      </c>
      <c r="E8" s="8" t="s">
        <v>50</v>
      </c>
      <c r="F8" s="7" t="s">
        <v>65</v>
      </c>
      <c r="G8" s="8" t="s">
        <v>66</v>
      </c>
      <c r="H8" s="7" t="str">
        <f>"000006"</f>
        <v>000006</v>
      </c>
      <c r="I8" s="6">
        <v>42909</v>
      </c>
      <c r="J8" s="7" t="str">
        <f>"000003"</f>
        <v>000003</v>
      </c>
      <c r="K8" s="6">
        <v>42971</v>
      </c>
      <c r="L8" s="7" t="str">
        <f>"000016"</f>
        <v>000016</v>
      </c>
      <c r="M8" s="6">
        <v>43024</v>
      </c>
      <c r="N8" s="7">
        <v>17</v>
      </c>
      <c r="O8" s="7" t="str">
        <f>"001683"</f>
        <v>001683</v>
      </c>
      <c r="P8" s="6">
        <v>43602</v>
      </c>
      <c r="Q8" s="9">
        <v>20.32893</v>
      </c>
      <c r="R8" s="9">
        <v>1.07768</v>
      </c>
      <c r="S8" s="9">
        <v>19.251249999999999</v>
      </c>
      <c r="T8" s="7">
        <v>50</v>
      </c>
      <c r="U8" s="6">
        <v>43603</v>
      </c>
      <c r="V8" s="7">
        <v>8147448595</v>
      </c>
      <c r="W8" s="8" t="s">
        <v>67</v>
      </c>
      <c r="X8" s="7" t="s">
        <v>30</v>
      </c>
      <c r="Y8" s="8" t="s">
        <v>31</v>
      </c>
      <c r="Z8" s="7" t="s">
        <v>47</v>
      </c>
      <c r="AA8" s="8" t="s">
        <v>48</v>
      </c>
      <c r="AB8" s="9">
        <f t="shared" si="0"/>
        <v>0.20328930000000001</v>
      </c>
    </row>
    <row r="9" spans="1:28" x14ac:dyDescent="0.35">
      <c r="A9" s="4">
        <v>5282</v>
      </c>
      <c r="B9" s="5" t="s">
        <v>32</v>
      </c>
      <c r="C9" s="6">
        <v>43603</v>
      </c>
      <c r="D9" s="7">
        <v>169</v>
      </c>
      <c r="E9" s="8" t="s">
        <v>50</v>
      </c>
      <c r="F9" s="7" t="s">
        <v>68</v>
      </c>
      <c r="G9" s="8" t="s">
        <v>69</v>
      </c>
      <c r="H9" s="7" t="str">
        <f>"000004"</f>
        <v>000004</v>
      </c>
      <c r="I9" s="6">
        <v>42942</v>
      </c>
      <c r="J9" s="7" t="str">
        <f>"000014"</f>
        <v>000014</v>
      </c>
      <c r="K9" s="6">
        <v>43012</v>
      </c>
      <c r="L9" s="7" t="str">
        <f>"000018"</f>
        <v>000018</v>
      </c>
      <c r="M9" s="6">
        <v>43025</v>
      </c>
      <c r="N9" s="7">
        <v>17</v>
      </c>
      <c r="O9" s="7" t="str">
        <f>"001710"</f>
        <v>001710</v>
      </c>
      <c r="P9" s="6">
        <v>43602</v>
      </c>
      <c r="Q9" s="9">
        <v>51.942950000000003</v>
      </c>
      <c r="R9" s="9">
        <v>2.8724799999999999</v>
      </c>
      <c r="S9" s="9">
        <v>49.07047</v>
      </c>
      <c r="T9" s="7">
        <v>50</v>
      </c>
      <c r="U9" s="6">
        <v>43603</v>
      </c>
      <c r="V9" s="7">
        <v>9845290968</v>
      </c>
      <c r="W9" s="8" t="s">
        <v>70</v>
      </c>
      <c r="X9" s="7" t="s">
        <v>71</v>
      </c>
      <c r="Y9" s="8" t="s">
        <v>72</v>
      </c>
      <c r="Z9" s="7" t="s">
        <v>47</v>
      </c>
      <c r="AA9" s="8" t="s">
        <v>48</v>
      </c>
      <c r="AB9" s="9">
        <f t="shared" si="0"/>
        <v>0.51942949999999999</v>
      </c>
    </row>
    <row r="10" spans="1:28" x14ac:dyDescent="0.35">
      <c r="A10" s="4">
        <v>5283</v>
      </c>
      <c r="B10" s="5" t="s">
        <v>32</v>
      </c>
      <c r="C10" s="6">
        <v>43610</v>
      </c>
      <c r="D10" s="7">
        <v>169</v>
      </c>
      <c r="E10" s="8" t="s">
        <v>50</v>
      </c>
      <c r="F10" s="7" t="s">
        <v>73</v>
      </c>
      <c r="G10" s="8" t="s">
        <v>74</v>
      </c>
      <c r="H10" s="7" t="str">
        <f>"000059"</f>
        <v>000059</v>
      </c>
      <c r="I10" s="6">
        <v>43046</v>
      </c>
      <c r="J10" s="7" t="str">
        <f>"000042"</f>
        <v>000042</v>
      </c>
      <c r="K10" s="6">
        <v>43168</v>
      </c>
      <c r="L10" s="7" t="str">
        <f>"000050"</f>
        <v>000050</v>
      </c>
      <c r="M10" s="6">
        <v>43171</v>
      </c>
      <c r="N10" s="7">
        <v>17</v>
      </c>
      <c r="O10" s="7" t="str">
        <f>"002051"</f>
        <v>002051</v>
      </c>
      <c r="P10" s="6">
        <v>43609</v>
      </c>
      <c r="Q10" s="9">
        <v>53.706060000000001</v>
      </c>
      <c r="R10" s="9">
        <v>4.4252000000000002</v>
      </c>
      <c r="S10" s="9">
        <v>49.280859999999997</v>
      </c>
      <c r="T10" s="7">
        <v>59</v>
      </c>
      <c r="U10" s="6">
        <v>43610</v>
      </c>
      <c r="V10" s="7">
        <v>9845290444</v>
      </c>
      <c r="W10" s="8" t="s">
        <v>75</v>
      </c>
      <c r="X10" s="7" t="s">
        <v>39</v>
      </c>
      <c r="Y10" s="8" t="s">
        <v>40</v>
      </c>
      <c r="Z10" s="7" t="s">
        <v>45</v>
      </c>
      <c r="AA10" s="8" t="s">
        <v>46</v>
      </c>
      <c r="AB10" s="9">
        <f t="shared" si="0"/>
        <v>0.5370606</v>
      </c>
    </row>
    <row r="11" spans="1:28" x14ac:dyDescent="0.35">
      <c r="A11" s="4">
        <v>5284</v>
      </c>
      <c r="B11" s="5" t="s">
        <v>32</v>
      </c>
      <c r="C11" s="6">
        <v>43614</v>
      </c>
      <c r="D11" s="7">
        <v>169</v>
      </c>
      <c r="E11" s="8" t="s">
        <v>50</v>
      </c>
      <c r="F11" s="7" t="s">
        <v>76</v>
      </c>
      <c r="G11" s="8" t="s">
        <v>77</v>
      </c>
      <c r="H11" s="7" t="str">
        <f>"000083"</f>
        <v>000083</v>
      </c>
      <c r="I11" s="6">
        <v>43153</v>
      </c>
      <c r="J11" s="7" t="str">
        <f>"000040"</f>
        <v>000040</v>
      </c>
      <c r="K11" s="6">
        <v>43154</v>
      </c>
      <c r="L11" s="7" t="str">
        <f>"000049"</f>
        <v>000049</v>
      </c>
      <c r="M11" s="6">
        <v>43168</v>
      </c>
      <c r="N11" s="7">
        <v>15</v>
      </c>
      <c r="O11" s="7" t="str">
        <f>"002075"</f>
        <v>002075</v>
      </c>
      <c r="P11" s="6">
        <v>43610</v>
      </c>
      <c r="Q11" s="9">
        <v>14.998200000000001</v>
      </c>
      <c r="R11" s="9">
        <v>1.21495</v>
      </c>
      <c r="S11" s="9">
        <v>13.783250000000001</v>
      </c>
      <c r="T11" s="7">
        <v>64</v>
      </c>
      <c r="U11" s="6">
        <v>43614</v>
      </c>
      <c r="V11" s="7">
        <v>9448331568</v>
      </c>
      <c r="W11" s="8" t="s">
        <v>78</v>
      </c>
      <c r="X11" s="7" t="s">
        <v>33</v>
      </c>
      <c r="Y11" s="8" t="s">
        <v>34</v>
      </c>
      <c r="Z11" s="7" t="s">
        <v>45</v>
      </c>
      <c r="AA11" s="8" t="s">
        <v>46</v>
      </c>
      <c r="AB11" s="9">
        <f t="shared" si="0"/>
        <v>0.149982</v>
      </c>
    </row>
    <row r="12" spans="1:28" x14ac:dyDescent="0.35">
      <c r="A12" s="4">
        <v>5285</v>
      </c>
      <c r="B12" s="5" t="s">
        <v>32</v>
      </c>
      <c r="C12" s="6">
        <v>43615</v>
      </c>
      <c r="D12" s="7">
        <v>169</v>
      </c>
      <c r="E12" s="8" t="s">
        <v>50</v>
      </c>
      <c r="F12" s="7" t="s">
        <v>79</v>
      </c>
      <c r="G12" s="8" t="s">
        <v>80</v>
      </c>
      <c r="H12" s="7" t="str">
        <f>"000005"</f>
        <v>000005</v>
      </c>
      <c r="I12" s="6">
        <v>42942</v>
      </c>
      <c r="J12" s="7" t="str">
        <f>"000020"</f>
        <v>000020</v>
      </c>
      <c r="K12" s="6">
        <v>43039</v>
      </c>
      <c r="L12" s="7" t="str">
        <f>"000026"</f>
        <v>000026</v>
      </c>
      <c r="M12" s="6">
        <v>43041</v>
      </c>
      <c r="N12" s="7">
        <v>17</v>
      </c>
      <c r="O12" s="7" t="str">
        <f>"002119"</f>
        <v>002119</v>
      </c>
      <c r="P12" s="6">
        <v>43613</v>
      </c>
      <c r="Q12" s="9">
        <v>51.95702</v>
      </c>
      <c r="R12" s="9">
        <v>2.8505600000000002</v>
      </c>
      <c r="S12" s="9">
        <v>49.106459999999998</v>
      </c>
      <c r="T12" s="7">
        <v>65</v>
      </c>
      <c r="U12" s="6">
        <v>43615</v>
      </c>
      <c r="V12" s="7">
        <v>9611673328</v>
      </c>
      <c r="W12" s="8" t="s">
        <v>81</v>
      </c>
      <c r="X12" s="7" t="s">
        <v>71</v>
      </c>
      <c r="Y12" s="8" t="s">
        <v>72</v>
      </c>
      <c r="Z12" s="7" t="s">
        <v>47</v>
      </c>
      <c r="AA12" s="8" t="s">
        <v>48</v>
      </c>
      <c r="AB12" s="9">
        <f t="shared" si="0"/>
        <v>0.51957019999999998</v>
      </c>
    </row>
    <row r="13" spans="1:28" x14ac:dyDescent="0.35">
      <c r="A13" s="4">
        <v>5286</v>
      </c>
      <c r="B13" s="5" t="s">
        <v>32</v>
      </c>
      <c r="C13" s="6">
        <v>43615</v>
      </c>
      <c r="D13" s="7">
        <v>169</v>
      </c>
      <c r="E13" s="8" t="s">
        <v>50</v>
      </c>
      <c r="F13" s="7" t="s">
        <v>82</v>
      </c>
      <c r="G13" s="8" t="s">
        <v>83</v>
      </c>
      <c r="H13" s="7" t="str">
        <f>"000002"</f>
        <v>000002</v>
      </c>
      <c r="I13" s="6">
        <v>42940</v>
      </c>
      <c r="J13" s="7" t="str">
        <f>"000017"</f>
        <v>000017</v>
      </c>
      <c r="K13" s="6">
        <v>43027</v>
      </c>
      <c r="L13" s="7" t="str">
        <f>"000027"</f>
        <v>000027</v>
      </c>
      <c r="M13" s="6">
        <v>43060</v>
      </c>
      <c r="N13" s="7">
        <v>17</v>
      </c>
      <c r="O13" s="7" t="str">
        <f>"002159"</f>
        <v>002159</v>
      </c>
      <c r="P13" s="6">
        <v>43613</v>
      </c>
      <c r="Q13" s="9">
        <v>24.324400000000001</v>
      </c>
      <c r="R13" s="9">
        <v>1.4990300000000001</v>
      </c>
      <c r="S13" s="9">
        <v>22.825369999999999</v>
      </c>
      <c r="T13" s="7">
        <v>65</v>
      </c>
      <c r="U13" s="6">
        <v>43615</v>
      </c>
      <c r="V13" s="7">
        <v>9663453136</v>
      </c>
      <c r="W13" s="8" t="s">
        <v>84</v>
      </c>
      <c r="X13" s="7" t="s">
        <v>30</v>
      </c>
      <c r="Y13" s="8" t="s">
        <v>31</v>
      </c>
      <c r="Z13" s="7" t="s">
        <v>47</v>
      </c>
      <c r="AA13" s="8" t="s">
        <v>48</v>
      </c>
      <c r="AB13" s="9">
        <f t="shared" si="0"/>
        <v>0.24324400000000002</v>
      </c>
    </row>
    <row r="14" spans="1:28" x14ac:dyDescent="0.35">
      <c r="A14" s="4">
        <v>5287</v>
      </c>
      <c r="B14" s="5" t="s">
        <v>29</v>
      </c>
      <c r="C14" s="6">
        <v>43633</v>
      </c>
      <c r="D14" s="7">
        <v>169</v>
      </c>
      <c r="E14" s="8" t="s">
        <v>50</v>
      </c>
      <c r="F14" s="7" t="s">
        <v>85</v>
      </c>
      <c r="G14" s="8" t="s">
        <v>86</v>
      </c>
      <c r="H14" s="7" t="str">
        <f>"000169"</f>
        <v>000169</v>
      </c>
      <c r="I14" s="6">
        <v>43526</v>
      </c>
      <c r="J14" s="7" t="str">
        <f>"000015"</f>
        <v>000015</v>
      </c>
      <c r="K14" s="6">
        <v>43602</v>
      </c>
      <c r="L14" s="7" t="str">
        <f>"000012"</f>
        <v>000012</v>
      </c>
      <c r="M14" s="6">
        <v>43606</v>
      </c>
      <c r="N14" s="7">
        <v>19</v>
      </c>
      <c r="O14" s="7" t="str">
        <f>"002755"</f>
        <v>002755</v>
      </c>
      <c r="P14" s="6">
        <v>43630</v>
      </c>
      <c r="Q14" s="9">
        <v>19.944680000000002</v>
      </c>
      <c r="R14" s="9">
        <v>1.02064</v>
      </c>
      <c r="S14" s="9">
        <v>18.924040000000002</v>
      </c>
      <c r="T14" s="7">
        <v>84</v>
      </c>
      <c r="U14" s="6">
        <v>43633</v>
      </c>
      <c r="V14" s="7">
        <v>9856325698</v>
      </c>
      <c r="W14" s="8" t="s">
        <v>87</v>
      </c>
      <c r="X14" s="7" t="s">
        <v>37</v>
      </c>
      <c r="Y14" s="8" t="s">
        <v>38</v>
      </c>
      <c r="Z14" s="7" t="s">
        <v>47</v>
      </c>
      <c r="AA14" s="8" t="s">
        <v>48</v>
      </c>
      <c r="AB14" s="9">
        <v>0.19944680000000001</v>
      </c>
    </row>
    <row r="15" spans="1:28" x14ac:dyDescent="0.35">
      <c r="A15" s="4">
        <v>5288</v>
      </c>
      <c r="B15" s="5" t="s">
        <v>29</v>
      </c>
      <c r="C15" s="6">
        <v>43633</v>
      </c>
      <c r="D15" s="7">
        <v>169</v>
      </c>
      <c r="E15" s="8" t="s">
        <v>50</v>
      </c>
      <c r="F15" s="7" t="s">
        <v>88</v>
      </c>
      <c r="G15" s="8" t="s">
        <v>89</v>
      </c>
      <c r="H15" s="7" t="str">
        <f>"000170"</f>
        <v>000170</v>
      </c>
      <c r="I15" s="6">
        <v>43526</v>
      </c>
      <c r="J15" s="7" t="str">
        <f>"000016"</f>
        <v>000016</v>
      </c>
      <c r="K15" s="6">
        <v>43602</v>
      </c>
      <c r="L15" s="7" t="str">
        <f>"000013"</f>
        <v>000013</v>
      </c>
      <c r="M15" s="6">
        <v>43606</v>
      </c>
      <c r="N15" s="7">
        <v>19</v>
      </c>
      <c r="O15" s="7" t="str">
        <f>"002758"</f>
        <v>002758</v>
      </c>
      <c r="P15" s="6">
        <v>43630</v>
      </c>
      <c r="Q15" s="9">
        <v>19.664999999999999</v>
      </c>
      <c r="R15" s="9">
        <v>0.95528999999999997</v>
      </c>
      <c r="S15" s="9">
        <v>18.709710000000001</v>
      </c>
      <c r="T15" s="7">
        <v>84</v>
      </c>
      <c r="U15" s="6">
        <v>43633</v>
      </c>
      <c r="V15" s="7">
        <v>3256985636</v>
      </c>
      <c r="W15" s="8" t="s">
        <v>87</v>
      </c>
      <c r="X15" s="7" t="s">
        <v>37</v>
      </c>
      <c r="Y15" s="8" t="s">
        <v>38</v>
      </c>
      <c r="Z15" s="7" t="s">
        <v>47</v>
      </c>
      <c r="AA15" s="8" t="s">
        <v>48</v>
      </c>
      <c r="AB15" s="9">
        <v>0.19664999999999999</v>
      </c>
    </row>
    <row r="16" spans="1:28" x14ac:dyDescent="0.35">
      <c r="A16" s="4">
        <v>5289</v>
      </c>
      <c r="B16" s="5" t="s">
        <v>90</v>
      </c>
      <c r="C16" s="6">
        <v>43648</v>
      </c>
      <c r="D16" s="7">
        <v>169</v>
      </c>
      <c r="E16" s="8" t="s">
        <v>50</v>
      </c>
      <c r="F16" s="7" t="s">
        <v>54</v>
      </c>
      <c r="G16" s="10" t="s">
        <v>55</v>
      </c>
      <c r="H16" s="7" t="str">
        <f>"000014"</f>
        <v>000014</v>
      </c>
      <c r="I16" s="6">
        <v>42934</v>
      </c>
      <c r="J16" s="7" t="str">
        <f>"000200"</f>
        <v>000200</v>
      </c>
      <c r="K16" s="6">
        <v>43776</v>
      </c>
      <c r="L16" s="7" t="str">
        <f>"000200"</f>
        <v>000200</v>
      </c>
      <c r="M16" s="6">
        <v>43777</v>
      </c>
      <c r="N16" s="7">
        <v>16</v>
      </c>
      <c r="O16" s="7" t="str">
        <f>""</f>
        <v/>
      </c>
      <c r="P16" s="7"/>
      <c r="Q16" s="11">
        <v>2.6133500000000001</v>
      </c>
      <c r="R16" s="11">
        <v>0.21193999999999999</v>
      </c>
      <c r="S16" s="11">
        <v>2.4014099999999998</v>
      </c>
      <c r="T16" s="7">
        <v>102</v>
      </c>
      <c r="U16" s="6">
        <v>43648</v>
      </c>
      <c r="V16" s="7">
        <v>0</v>
      </c>
      <c r="W16" s="10" t="s">
        <v>56</v>
      </c>
      <c r="X16" s="7" t="s">
        <v>36</v>
      </c>
      <c r="Y16" s="10" t="s">
        <v>35</v>
      </c>
      <c r="Z16" s="7" t="s">
        <v>43</v>
      </c>
      <c r="AA16" s="10" t="s">
        <v>44</v>
      </c>
      <c r="AB16" s="11">
        <f t="shared" ref="AB16:AB34" si="1">Q16/100</f>
        <v>2.61335E-2</v>
      </c>
    </row>
    <row r="17" spans="1:28" x14ac:dyDescent="0.35">
      <c r="A17" s="4">
        <v>5290</v>
      </c>
      <c r="B17" s="5" t="s">
        <v>90</v>
      </c>
      <c r="C17" s="6">
        <v>43650</v>
      </c>
      <c r="D17" s="7">
        <v>169</v>
      </c>
      <c r="E17" s="8" t="s">
        <v>50</v>
      </c>
      <c r="F17" s="7" t="s">
        <v>91</v>
      </c>
      <c r="G17" s="10" t="s">
        <v>92</v>
      </c>
      <c r="H17" s="7" t="str">
        <f>"000171"</f>
        <v>000171</v>
      </c>
      <c r="I17" s="6">
        <v>43526</v>
      </c>
      <c r="J17" s="7" t="str">
        <f>"000009"</f>
        <v>000009</v>
      </c>
      <c r="K17" s="6">
        <v>43594</v>
      </c>
      <c r="L17" s="7" t="str">
        <f>"000007"</f>
        <v>000007</v>
      </c>
      <c r="M17" s="6">
        <v>43599</v>
      </c>
      <c r="N17" s="7">
        <v>19</v>
      </c>
      <c r="O17" s="7" t="str">
        <f>"003274"</f>
        <v>003274</v>
      </c>
      <c r="P17" s="6">
        <v>43645</v>
      </c>
      <c r="Q17" s="11">
        <v>16.95215</v>
      </c>
      <c r="R17" s="11">
        <v>0.65871999999999997</v>
      </c>
      <c r="S17" s="11">
        <v>16.293430000000001</v>
      </c>
      <c r="T17" s="7">
        <v>106</v>
      </c>
      <c r="U17" s="6">
        <v>43650</v>
      </c>
      <c r="V17" s="7">
        <v>9880413927</v>
      </c>
      <c r="W17" s="10" t="s">
        <v>93</v>
      </c>
      <c r="X17" s="7" t="s">
        <v>94</v>
      </c>
      <c r="Y17" s="10" t="s">
        <v>95</v>
      </c>
      <c r="Z17" s="7" t="s">
        <v>47</v>
      </c>
      <c r="AA17" s="10" t="s">
        <v>48</v>
      </c>
      <c r="AB17" s="11">
        <f t="shared" si="1"/>
        <v>0.16952149999999999</v>
      </c>
    </row>
    <row r="18" spans="1:28" x14ac:dyDescent="0.35">
      <c r="A18" s="4">
        <v>5291</v>
      </c>
      <c r="B18" s="5" t="s">
        <v>90</v>
      </c>
      <c r="C18" s="6">
        <v>43650</v>
      </c>
      <c r="D18" s="7">
        <v>169</v>
      </c>
      <c r="E18" s="8" t="s">
        <v>50</v>
      </c>
      <c r="F18" s="7" t="s">
        <v>96</v>
      </c>
      <c r="G18" s="10" t="s">
        <v>97</v>
      </c>
      <c r="H18" s="7" t="str">
        <f>"000173"</f>
        <v>000173</v>
      </c>
      <c r="I18" s="6">
        <v>43526</v>
      </c>
      <c r="J18" s="7" t="str">
        <f>"000010"</f>
        <v>000010</v>
      </c>
      <c r="K18" s="6">
        <v>43594</v>
      </c>
      <c r="L18" s="7" t="str">
        <f>"000008"</f>
        <v>000008</v>
      </c>
      <c r="M18" s="6">
        <v>43599</v>
      </c>
      <c r="N18" s="7">
        <v>19</v>
      </c>
      <c r="O18" s="7" t="str">
        <f>"003275"</f>
        <v>003275</v>
      </c>
      <c r="P18" s="6">
        <v>43645</v>
      </c>
      <c r="Q18" s="11">
        <v>16.780100000000001</v>
      </c>
      <c r="R18" s="11">
        <v>0.84591000000000005</v>
      </c>
      <c r="S18" s="11">
        <v>15.934189999999999</v>
      </c>
      <c r="T18" s="7">
        <v>106</v>
      </c>
      <c r="U18" s="6">
        <v>43650</v>
      </c>
      <c r="V18" s="7">
        <v>9880413927</v>
      </c>
      <c r="W18" s="10" t="s">
        <v>98</v>
      </c>
      <c r="X18" s="7" t="s">
        <v>99</v>
      </c>
      <c r="Y18" s="10" t="s">
        <v>100</v>
      </c>
      <c r="Z18" s="7" t="s">
        <v>47</v>
      </c>
      <c r="AA18" s="10" t="s">
        <v>48</v>
      </c>
      <c r="AB18" s="11">
        <f t="shared" si="1"/>
        <v>0.16780100000000001</v>
      </c>
    </row>
    <row r="19" spans="1:28" x14ac:dyDescent="0.35">
      <c r="A19" s="4">
        <v>5292</v>
      </c>
      <c r="B19" s="5" t="s">
        <v>90</v>
      </c>
      <c r="C19" s="6">
        <v>43656</v>
      </c>
      <c r="D19" s="7">
        <v>169</v>
      </c>
      <c r="E19" s="8" t="s">
        <v>50</v>
      </c>
      <c r="F19" s="7" t="s">
        <v>101</v>
      </c>
      <c r="G19" s="10" t="s">
        <v>102</v>
      </c>
      <c r="H19" s="7" t="str">
        <f>"000172"</f>
        <v>000172</v>
      </c>
      <c r="I19" s="6">
        <v>43526</v>
      </c>
      <c r="J19" s="7" t="str">
        <f>"000027"</f>
        <v>000027</v>
      </c>
      <c r="K19" s="6">
        <v>43629</v>
      </c>
      <c r="L19" s="7" t="str">
        <f>"000027"</f>
        <v>000027</v>
      </c>
      <c r="M19" s="6">
        <v>43634</v>
      </c>
      <c r="N19" s="7">
        <v>19</v>
      </c>
      <c r="O19" s="7" t="str">
        <f>"003347"</f>
        <v>003347</v>
      </c>
      <c r="P19" s="6">
        <v>43651</v>
      </c>
      <c r="Q19" s="11">
        <v>23.080359999999999</v>
      </c>
      <c r="R19" s="11">
        <v>2.2707899999999999</v>
      </c>
      <c r="S19" s="11">
        <v>20.809570000000001</v>
      </c>
      <c r="T19" s="7">
        <v>110</v>
      </c>
      <c r="U19" s="6">
        <v>43656</v>
      </c>
      <c r="V19" s="7">
        <v>9964587191</v>
      </c>
      <c r="W19" s="10" t="s">
        <v>103</v>
      </c>
      <c r="X19" s="7" t="s">
        <v>37</v>
      </c>
      <c r="Y19" s="10" t="s">
        <v>38</v>
      </c>
      <c r="Z19" s="7" t="s">
        <v>47</v>
      </c>
      <c r="AA19" s="10" t="s">
        <v>48</v>
      </c>
      <c r="AB19" s="11">
        <f t="shared" si="1"/>
        <v>0.2308036</v>
      </c>
    </row>
    <row r="20" spans="1:28" x14ac:dyDescent="0.35">
      <c r="A20" s="4">
        <v>5293</v>
      </c>
      <c r="B20" s="5" t="s">
        <v>90</v>
      </c>
      <c r="C20" s="6">
        <v>43656</v>
      </c>
      <c r="D20" s="7">
        <v>169</v>
      </c>
      <c r="E20" s="8" t="s">
        <v>50</v>
      </c>
      <c r="F20" s="7" t="s">
        <v>104</v>
      </c>
      <c r="G20" s="10" t="s">
        <v>105</v>
      </c>
      <c r="H20" s="7" t="str">
        <f>"000167"</f>
        <v>000167</v>
      </c>
      <c r="I20" s="6">
        <v>43526</v>
      </c>
      <c r="J20" s="7" t="str">
        <f>"000028"</f>
        <v>000028</v>
      </c>
      <c r="K20" s="6">
        <v>43629</v>
      </c>
      <c r="L20" s="7" t="str">
        <f>"000028"</f>
        <v>000028</v>
      </c>
      <c r="M20" s="6">
        <v>43634</v>
      </c>
      <c r="N20" s="7">
        <v>19</v>
      </c>
      <c r="O20" s="7" t="str">
        <f>"003348"</f>
        <v>003348</v>
      </c>
      <c r="P20" s="6">
        <v>43651</v>
      </c>
      <c r="Q20" s="11">
        <v>23.33437</v>
      </c>
      <c r="R20" s="11">
        <v>2.3831099999999998</v>
      </c>
      <c r="S20" s="11">
        <v>20.951260000000001</v>
      </c>
      <c r="T20" s="7">
        <v>110</v>
      </c>
      <c r="U20" s="6">
        <v>43656</v>
      </c>
      <c r="V20" s="7">
        <v>9964587191</v>
      </c>
      <c r="W20" s="10" t="s">
        <v>106</v>
      </c>
      <c r="X20" s="7" t="s">
        <v>37</v>
      </c>
      <c r="Y20" s="10" t="s">
        <v>38</v>
      </c>
      <c r="Z20" s="7" t="s">
        <v>47</v>
      </c>
      <c r="AA20" s="10" t="s">
        <v>48</v>
      </c>
      <c r="AB20" s="11">
        <f t="shared" si="1"/>
        <v>0.23334369999999999</v>
      </c>
    </row>
    <row r="21" spans="1:28" x14ac:dyDescent="0.35">
      <c r="A21" s="4">
        <v>5294</v>
      </c>
      <c r="B21" s="5" t="s">
        <v>90</v>
      </c>
      <c r="C21" s="6">
        <v>43664</v>
      </c>
      <c r="D21" s="7">
        <v>169</v>
      </c>
      <c r="E21" s="8" t="s">
        <v>50</v>
      </c>
      <c r="F21" s="7" t="s">
        <v>54</v>
      </c>
      <c r="G21" s="10" t="s">
        <v>55</v>
      </c>
      <c r="H21" s="7" t="str">
        <f>"000014"</f>
        <v>000014</v>
      </c>
      <c r="I21" s="6">
        <v>42934</v>
      </c>
      <c r="J21" s="7" t="str">
        <f>"000200"</f>
        <v>000200</v>
      </c>
      <c r="K21" s="6">
        <v>43776</v>
      </c>
      <c r="L21" s="7" t="str">
        <f>"000200"</f>
        <v>000200</v>
      </c>
      <c r="M21" s="6">
        <v>43777</v>
      </c>
      <c r="N21" s="7">
        <v>16</v>
      </c>
      <c r="O21" s="7" t="str">
        <f>""</f>
        <v/>
      </c>
      <c r="P21" s="7"/>
      <c r="Q21" s="11">
        <v>2.6133500000000001</v>
      </c>
      <c r="R21" s="11">
        <v>0.20694000000000001</v>
      </c>
      <c r="S21" s="11">
        <v>2.4064100000000002</v>
      </c>
      <c r="T21" s="7">
        <v>115</v>
      </c>
      <c r="U21" s="6">
        <v>43664</v>
      </c>
      <c r="V21" s="7">
        <v>0</v>
      </c>
      <c r="W21" s="10" t="s">
        <v>56</v>
      </c>
      <c r="X21" s="7" t="s">
        <v>36</v>
      </c>
      <c r="Y21" s="10" t="s">
        <v>35</v>
      </c>
      <c r="Z21" s="7" t="s">
        <v>43</v>
      </c>
      <c r="AA21" s="10" t="s">
        <v>44</v>
      </c>
      <c r="AB21" s="11">
        <f t="shared" si="1"/>
        <v>2.61335E-2</v>
      </c>
    </row>
    <row r="22" spans="1:28" x14ac:dyDescent="0.35">
      <c r="A22" s="4">
        <v>5295</v>
      </c>
      <c r="B22" s="5" t="s">
        <v>90</v>
      </c>
      <c r="C22" s="6">
        <v>43664</v>
      </c>
      <c r="D22" s="7">
        <v>169</v>
      </c>
      <c r="E22" s="8" t="s">
        <v>50</v>
      </c>
      <c r="F22" s="7" t="s">
        <v>107</v>
      </c>
      <c r="G22" s="10" t="s">
        <v>108</v>
      </c>
      <c r="H22" s="7" t="str">
        <f>"000050"</f>
        <v>000050</v>
      </c>
      <c r="I22" s="6">
        <v>42935</v>
      </c>
      <c r="J22" s="7" t="str">
        <f>"000028"</f>
        <v>000028</v>
      </c>
      <c r="K22" s="6">
        <v>43293</v>
      </c>
      <c r="L22" s="7" t="str">
        <f>"000029"</f>
        <v>000029</v>
      </c>
      <c r="M22" s="6">
        <v>43293</v>
      </c>
      <c r="N22" s="7">
        <v>17</v>
      </c>
      <c r="O22" s="7" t="str">
        <f>"003479"</f>
        <v>003479</v>
      </c>
      <c r="P22" s="6">
        <v>43662</v>
      </c>
      <c r="Q22" s="11">
        <v>0.73777999999999999</v>
      </c>
      <c r="R22" s="11">
        <v>3.764E-2</v>
      </c>
      <c r="S22" s="11">
        <v>0.70013999999999998</v>
      </c>
      <c r="T22" s="7">
        <v>116</v>
      </c>
      <c r="U22" s="6">
        <v>43664</v>
      </c>
      <c r="V22" s="7">
        <v>0</v>
      </c>
      <c r="W22" s="10" t="s">
        <v>109</v>
      </c>
      <c r="X22" s="7" t="s">
        <v>110</v>
      </c>
      <c r="Y22" s="10" t="s">
        <v>111</v>
      </c>
      <c r="Z22" s="7" t="s">
        <v>43</v>
      </c>
      <c r="AA22" s="10" t="s">
        <v>44</v>
      </c>
      <c r="AB22" s="11">
        <f t="shared" si="1"/>
        <v>7.3778000000000003E-3</v>
      </c>
    </row>
    <row r="23" spans="1:28" x14ac:dyDescent="0.35">
      <c r="A23" s="4">
        <v>5296</v>
      </c>
      <c r="B23" s="5" t="s">
        <v>90</v>
      </c>
      <c r="C23" s="6">
        <v>43664</v>
      </c>
      <c r="D23" s="7">
        <v>169</v>
      </c>
      <c r="E23" s="8" t="s">
        <v>50</v>
      </c>
      <c r="F23" s="7" t="s">
        <v>112</v>
      </c>
      <c r="G23" s="10" t="s">
        <v>113</v>
      </c>
      <c r="H23" s="7" t="str">
        <f>"000043"</f>
        <v>000043</v>
      </c>
      <c r="I23" s="6">
        <v>42935</v>
      </c>
      <c r="J23" s="7" t="str">
        <f>"000029"</f>
        <v>000029</v>
      </c>
      <c r="K23" s="6">
        <v>43293</v>
      </c>
      <c r="L23" s="7" t="str">
        <f>"000032"</f>
        <v>000032</v>
      </c>
      <c r="M23" s="6">
        <v>43293</v>
      </c>
      <c r="N23" s="7">
        <v>17</v>
      </c>
      <c r="O23" s="7" t="str">
        <f>"003482"</f>
        <v>003482</v>
      </c>
      <c r="P23" s="6">
        <v>43662</v>
      </c>
      <c r="Q23" s="11">
        <v>0.48154999999999998</v>
      </c>
      <c r="R23" s="11">
        <v>2.4559999999999998E-2</v>
      </c>
      <c r="S23" s="11">
        <v>0.45699000000000001</v>
      </c>
      <c r="T23" s="7">
        <v>116</v>
      </c>
      <c r="U23" s="6">
        <v>43664</v>
      </c>
      <c r="V23" s="7">
        <v>0</v>
      </c>
      <c r="W23" s="10" t="s">
        <v>114</v>
      </c>
      <c r="X23" s="7" t="s">
        <v>115</v>
      </c>
      <c r="Y23" s="10" t="s">
        <v>116</v>
      </c>
      <c r="Z23" s="7" t="s">
        <v>43</v>
      </c>
      <c r="AA23" s="10" t="s">
        <v>44</v>
      </c>
      <c r="AB23" s="11">
        <f t="shared" si="1"/>
        <v>4.8154999999999995E-3</v>
      </c>
    </row>
    <row r="24" spans="1:28" x14ac:dyDescent="0.35">
      <c r="A24" s="4">
        <v>5297</v>
      </c>
      <c r="B24" s="5" t="s">
        <v>90</v>
      </c>
      <c r="C24" s="6">
        <v>43668</v>
      </c>
      <c r="D24" s="7">
        <v>169</v>
      </c>
      <c r="E24" s="8" t="s">
        <v>50</v>
      </c>
      <c r="F24" s="7" t="s">
        <v>117</v>
      </c>
      <c r="G24" s="10" t="s">
        <v>118</v>
      </c>
      <c r="H24" s="7" t="str">
        <f>"000180"</f>
        <v>000180</v>
      </c>
      <c r="I24" s="6">
        <v>43528</v>
      </c>
      <c r="J24" s="7" t="str">
        <f>"000025"</f>
        <v>000025</v>
      </c>
      <c r="K24" s="6">
        <v>43622</v>
      </c>
      <c r="L24" s="7" t="str">
        <f>"000020"</f>
        <v>000020</v>
      </c>
      <c r="M24" s="6">
        <v>43626</v>
      </c>
      <c r="N24" s="7">
        <v>19</v>
      </c>
      <c r="O24" s="7" t="str">
        <f>"003732"</f>
        <v>003732</v>
      </c>
      <c r="P24" s="6">
        <v>43664</v>
      </c>
      <c r="Q24" s="11">
        <v>14.17779</v>
      </c>
      <c r="R24" s="11">
        <v>1.3393200000000001</v>
      </c>
      <c r="S24" s="11">
        <v>12.838469999999999</v>
      </c>
      <c r="T24" s="7">
        <v>119</v>
      </c>
      <c r="U24" s="6">
        <v>43668</v>
      </c>
      <c r="V24" s="7">
        <v>9482790938</v>
      </c>
      <c r="W24" s="10" t="s">
        <v>119</v>
      </c>
      <c r="X24" s="7" t="s">
        <v>120</v>
      </c>
      <c r="Y24" s="10" t="s">
        <v>121</v>
      </c>
      <c r="Z24" s="7" t="s">
        <v>47</v>
      </c>
      <c r="AA24" s="10" t="s">
        <v>48</v>
      </c>
      <c r="AB24" s="11">
        <f t="shared" si="1"/>
        <v>0.14177790000000001</v>
      </c>
    </row>
    <row r="25" spans="1:28" x14ac:dyDescent="0.35">
      <c r="A25" s="4">
        <v>5298</v>
      </c>
      <c r="B25" s="5" t="s">
        <v>90</v>
      </c>
      <c r="C25" s="6">
        <v>43668</v>
      </c>
      <c r="D25" s="7">
        <v>169</v>
      </c>
      <c r="E25" s="8" t="s">
        <v>50</v>
      </c>
      <c r="F25" s="7" t="s">
        <v>122</v>
      </c>
      <c r="G25" s="10" t="s">
        <v>123</v>
      </c>
      <c r="H25" s="7" t="str">
        <f>"000196"</f>
        <v>000196</v>
      </c>
      <c r="I25" s="6">
        <v>43531</v>
      </c>
      <c r="J25" s="7" t="str">
        <f>"000020"</f>
        <v>000020</v>
      </c>
      <c r="K25" s="6">
        <v>43607</v>
      </c>
      <c r="L25" s="7" t="str">
        <f>"000024"</f>
        <v>000024</v>
      </c>
      <c r="M25" s="6">
        <v>43630</v>
      </c>
      <c r="N25" s="7">
        <v>19</v>
      </c>
      <c r="O25" s="7" t="str">
        <f>"003744"</f>
        <v>003744</v>
      </c>
      <c r="P25" s="6">
        <v>43664</v>
      </c>
      <c r="Q25" s="11">
        <v>4.8675199999999998</v>
      </c>
      <c r="R25" s="11">
        <v>0.18915000000000001</v>
      </c>
      <c r="S25" s="11">
        <v>4.6783700000000001</v>
      </c>
      <c r="T25" s="7">
        <v>119</v>
      </c>
      <c r="U25" s="6">
        <v>43668</v>
      </c>
      <c r="V25" s="7">
        <v>8088882602</v>
      </c>
      <c r="W25" s="10" t="s">
        <v>124</v>
      </c>
      <c r="X25" s="7" t="s">
        <v>125</v>
      </c>
      <c r="Y25" s="10" t="s">
        <v>126</v>
      </c>
      <c r="Z25" s="7" t="s">
        <v>47</v>
      </c>
      <c r="AA25" s="10" t="s">
        <v>48</v>
      </c>
      <c r="AB25" s="11">
        <f t="shared" si="1"/>
        <v>4.8675200000000002E-2</v>
      </c>
    </row>
    <row r="26" spans="1:28" x14ac:dyDescent="0.35">
      <c r="A26" s="4">
        <v>5299</v>
      </c>
      <c r="B26" s="5" t="s">
        <v>90</v>
      </c>
      <c r="C26" s="6">
        <v>43668</v>
      </c>
      <c r="D26" s="7">
        <v>169</v>
      </c>
      <c r="E26" s="8" t="s">
        <v>50</v>
      </c>
      <c r="F26" s="7" t="s">
        <v>127</v>
      </c>
      <c r="G26" s="10" t="s">
        <v>128</v>
      </c>
      <c r="H26" s="7" t="str">
        <f>"000179"</f>
        <v>000179</v>
      </c>
      <c r="I26" s="6">
        <v>43528</v>
      </c>
      <c r="J26" s="7" t="str">
        <f>"000021"</f>
        <v>000021</v>
      </c>
      <c r="K26" s="6">
        <v>43607</v>
      </c>
      <c r="L26" s="7" t="str">
        <f>"000025"</f>
        <v>000025</v>
      </c>
      <c r="M26" s="6">
        <v>43630</v>
      </c>
      <c r="N26" s="7">
        <v>19</v>
      </c>
      <c r="O26" s="7" t="str">
        <f>"003745"</f>
        <v>003745</v>
      </c>
      <c r="P26" s="6">
        <v>43664</v>
      </c>
      <c r="Q26" s="11">
        <v>2.41073</v>
      </c>
      <c r="R26" s="11">
        <v>0.2311</v>
      </c>
      <c r="S26" s="11">
        <v>2.17963</v>
      </c>
      <c r="T26" s="7">
        <v>119</v>
      </c>
      <c r="U26" s="6">
        <v>43668</v>
      </c>
      <c r="V26" s="7">
        <v>9964587191</v>
      </c>
      <c r="W26" s="10" t="s">
        <v>119</v>
      </c>
      <c r="X26" s="7" t="s">
        <v>129</v>
      </c>
      <c r="Y26" s="10" t="s">
        <v>130</v>
      </c>
      <c r="Z26" s="7" t="s">
        <v>47</v>
      </c>
      <c r="AA26" s="10" t="s">
        <v>48</v>
      </c>
      <c r="AB26" s="11">
        <f t="shared" si="1"/>
        <v>2.4107300000000002E-2</v>
      </c>
    </row>
    <row r="27" spans="1:28" x14ac:dyDescent="0.35">
      <c r="A27" s="4">
        <v>5300</v>
      </c>
      <c r="B27" s="5" t="s">
        <v>90</v>
      </c>
      <c r="C27" s="6">
        <v>43668</v>
      </c>
      <c r="D27" s="7">
        <v>169</v>
      </c>
      <c r="E27" s="8" t="s">
        <v>50</v>
      </c>
      <c r="F27" s="7" t="s">
        <v>131</v>
      </c>
      <c r="G27" s="10" t="s">
        <v>132</v>
      </c>
      <c r="H27" s="7" t="str">
        <f>"000168"</f>
        <v>000168</v>
      </c>
      <c r="I27" s="6">
        <v>43526</v>
      </c>
      <c r="J27" s="7" t="str">
        <f>"000022"</f>
        <v>000022</v>
      </c>
      <c r="K27" s="6">
        <v>43607</v>
      </c>
      <c r="L27" s="7" t="str">
        <f>"000026"</f>
        <v>000026</v>
      </c>
      <c r="M27" s="6">
        <v>43630</v>
      </c>
      <c r="N27" s="7">
        <v>19</v>
      </c>
      <c r="O27" s="7" t="str">
        <f>"003746"</f>
        <v>003746</v>
      </c>
      <c r="P27" s="6">
        <v>43664</v>
      </c>
      <c r="Q27" s="11">
        <v>4.8326000000000002</v>
      </c>
      <c r="R27" s="11">
        <v>0.42942000000000002</v>
      </c>
      <c r="S27" s="11">
        <v>4.4031799999999999</v>
      </c>
      <c r="T27" s="7">
        <v>119</v>
      </c>
      <c r="U27" s="6">
        <v>43668</v>
      </c>
      <c r="V27" s="7">
        <v>9964587191</v>
      </c>
      <c r="W27" s="10" t="s">
        <v>106</v>
      </c>
      <c r="X27" s="7" t="s">
        <v>129</v>
      </c>
      <c r="Y27" s="10" t="s">
        <v>130</v>
      </c>
      <c r="Z27" s="7" t="s">
        <v>47</v>
      </c>
      <c r="AA27" s="10" t="s">
        <v>48</v>
      </c>
      <c r="AB27" s="11">
        <f t="shared" si="1"/>
        <v>4.8326000000000001E-2</v>
      </c>
    </row>
    <row r="28" spans="1:28" x14ac:dyDescent="0.35">
      <c r="A28" s="4">
        <v>5301</v>
      </c>
      <c r="B28" s="5" t="s">
        <v>90</v>
      </c>
      <c r="C28" s="6">
        <v>43668</v>
      </c>
      <c r="D28" s="7">
        <v>169</v>
      </c>
      <c r="E28" s="8" t="s">
        <v>50</v>
      </c>
      <c r="F28" s="7" t="s">
        <v>133</v>
      </c>
      <c r="G28" s="10" t="s">
        <v>134</v>
      </c>
      <c r="H28" s="7" t="str">
        <f>"000193"</f>
        <v>000193</v>
      </c>
      <c r="I28" s="6">
        <v>43531</v>
      </c>
      <c r="J28" s="7" t="str">
        <f>"000019"</f>
        <v>000019</v>
      </c>
      <c r="K28" s="6">
        <v>43607</v>
      </c>
      <c r="L28" s="7" t="str">
        <f>"000023"</f>
        <v>000023</v>
      </c>
      <c r="M28" s="6">
        <v>43630</v>
      </c>
      <c r="N28" s="7">
        <v>19</v>
      </c>
      <c r="O28" s="7" t="str">
        <f>"003777"</f>
        <v>003777</v>
      </c>
      <c r="P28" s="6">
        <v>43664</v>
      </c>
      <c r="Q28" s="11">
        <v>7.24247</v>
      </c>
      <c r="R28" s="11">
        <v>0.33489000000000002</v>
      </c>
      <c r="S28" s="11">
        <v>6.9075800000000003</v>
      </c>
      <c r="T28" s="7">
        <v>119</v>
      </c>
      <c r="U28" s="6">
        <v>43668</v>
      </c>
      <c r="V28" s="7">
        <v>8088882602</v>
      </c>
      <c r="W28" s="10" t="s">
        <v>135</v>
      </c>
      <c r="X28" s="7" t="s">
        <v>136</v>
      </c>
      <c r="Y28" s="10" t="s">
        <v>137</v>
      </c>
      <c r="Z28" s="7" t="s">
        <v>47</v>
      </c>
      <c r="AA28" s="10" t="s">
        <v>48</v>
      </c>
      <c r="AB28" s="11">
        <f t="shared" si="1"/>
        <v>7.2424699999999995E-2</v>
      </c>
    </row>
    <row r="29" spans="1:28" x14ac:dyDescent="0.35">
      <c r="A29" s="4">
        <v>5302</v>
      </c>
      <c r="B29" s="5" t="s">
        <v>90</v>
      </c>
      <c r="C29" s="6">
        <v>43672</v>
      </c>
      <c r="D29" s="7">
        <v>169</v>
      </c>
      <c r="E29" s="8" t="s">
        <v>50</v>
      </c>
      <c r="F29" s="7" t="s">
        <v>138</v>
      </c>
      <c r="G29" s="10" t="s">
        <v>139</v>
      </c>
      <c r="H29" s="7" t="str">
        <f>"000174"</f>
        <v>000174</v>
      </c>
      <c r="I29" s="6">
        <v>43526</v>
      </c>
      <c r="J29" s="7" t="str">
        <f>"000034"</f>
        <v>000034</v>
      </c>
      <c r="K29" s="6">
        <v>43643</v>
      </c>
      <c r="L29" s="7" t="str">
        <f>"000030"</f>
        <v>000030</v>
      </c>
      <c r="M29" s="6">
        <v>43644</v>
      </c>
      <c r="N29" s="7">
        <v>19</v>
      </c>
      <c r="O29" s="7" t="str">
        <f>"004082"</f>
        <v>004082</v>
      </c>
      <c r="P29" s="6">
        <v>43672</v>
      </c>
      <c r="Q29" s="11">
        <v>32.298560000000002</v>
      </c>
      <c r="R29" s="11">
        <v>1.4454800000000001</v>
      </c>
      <c r="S29" s="11">
        <v>30.853079999999999</v>
      </c>
      <c r="T29" s="7">
        <v>130</v>
      </c>
      <c r="U29" s="6">
        <v>43672</v>
      </c>
      <c r="V29" s="7">
        <v>7204694775</v>
      </c>
      <c r="W29" s="10" t="s">
        <v>140</v>
      </c>
      <c r="X29" s="7" t="s">
        <v>94</v>
      </c>
      <c r="Y29" s="10" t="s">
        <v>95</v>
      </c>
      <c r="Z29" s="7" t="s">
        <v>47</v>
      </c>
      <c r="AA29" s="10" t="s">
        <v>48</v>
      </c>
      <c r="AB29" s="11">
        <f t="shared" si="1"/>
        <v>0.32298560000000004</v>
      </c>
    </row>
    <row r="30" spans="1:28" x14ac:dyDescent="0.35">
      <c r="A30" s="4">
        <v>5303</v>
      </c>
      <c r="B30" s="5" t="s">
        <v>141</v>
      </c>
      <c r="C30" s="6">
        <v>43717</v>
      </c>
      <c r="D30" s="7">
        <v>169</v>
      </c>
      <c r="E30" s="8" t="s">
        <v>50</v>
      </c>
      <c r="F30" s="7" t="s">
        <v>142</v>
      </c>
      <c r="G30" s="10" t="s">
        <v>143</v>
      </c>
      <c r="H30" s="7" t="str">
        <f>"000187"</f>
        <v>000187</v>
      </c>
      <c r="I30" s="6">
        <v>43529</v>
      </c>
      <c r="J30" s="7" t="str">
        <f>"000031"</f>
        <v>000031</v>
      </c>
      <c r="K30" s="6">
        <v>43637</v>
      </c>
      <c r="L30" s="7" t="str">
        <f>"000039"</f>
        <v>000039</v>
      </c>
      <c r="M30" s="6">
        <v>43657</v>
      </c>
      <c r="N30" s="7">
        <v>19</v>
      </c>
      <c r="O30" s="7" t="str">
        <f>"004761"</f>
        <v>004761</v>
      </c>
      <c r="P30" s="6">
        <v>43703</v>
      </c>
      <c r="Q30" s="11">
        <v>4.8818700000000002</v>
      </c>
      <c r="R30" s="11">
        <v>0.19536000000000001</v>
      </c>
      <c r="S30" s="11">
        <v>4.6865100000000002</v>
      </c>
      <c r="T30" s="7">
        <v>178</v>
      </c>
      <c r="U30" s="6">
        <v>43717</v>
      </c>
      <c r="V30" s="7">
        <v>9663572931</v>
      </c>
      <c r="W30" s="10" t="s">
        <v>144</v>
      </c>
      <c r="X30" s="7" t="s">
        <v>145</v>
      </c>
      <c r="Y30" s="10" t="s">
        <v>146</v>
      </c>
      <c r="Z30" s="7" t="s">
        <v>47</v>
      </c>
      <c r="AA30" s="10" t="s">
        <v>48</v>
      </c>
      <c r="AB30" s="11">
        <f t="shared" si="1"/>
        <v>4.88187E-2</v>
      </c>
    </row>
    <row r="31" spans="1:28" x14ac:dyDescent="0.35">
      <c r="A31" s="4">
        <v>5304</v>
      </c>
      <c r="B31" s="5" t="s">
        <v>141</v>
      </c>
      <c r="C31" s="6">
        <v>43717</v>
      </c>
      <c r="D31" s="7">
        <v>169</v>
      </c>
      <c r="E31" s="8" t="s">
        <v>50</v>
      </c>
      <c r="F31" s="7" t="s">
        <v>147</v>
      </c>
      <c r="G31" s="10" t="s">
        <v>148</v>
      </c>
      <c r="H31" s="7" t="str">
        <f>"000188"</f>
        <v>000188</v>
      </c>
      <c r="I31" s="6">
        <v>43530</v>
      </c>
      <c r="J31" s="7" t="str">
        <f>"000032"</f>
        <v>000032</v>
      </c>
      <c r="K31" s="6">
        <v>43637</v>
      </c>
      <c r="L31" s="7" t="str">
        <f>"000040"</f>
        <v>000040</v>
      </c>
      <c r="M31" s="6">
        <v>43657</v>
      </c>
      <c r="N31" s="7">
        <v>19</v>
      </c>
      <c r="O31" s="7" t="str">
        <f>"004763"</f>
        <v>004763</v>
      </c>
      <c r="P31" s="6">
        <v>43703</v>
      </c>
      <c r="Q31" s="11">
        <v>2.43512</v>
      </c>
      <c r="R31" s="11">
        <v>6.9830000000000003E-2</v>
      </c>
      <c r="S31" s="11">
        <v>2.3652899999999999</v>
      </c>
      <c r="T31" s="7">
        <v>178</v>
      </c>
      <c r="U31" s="6">
        <v>43717</v>
      </c>
      <c r="V31" s="7">
        <v>8000002602</v>
      </c>
      <c r="W31" s="10" t="s">
        <v>149</v>
      </c>
      <c r="X31" s="7" t="s">
        <v>145</v>
      </c>
      <c r="Y31" s="10" t="s">
        <v>146</v>
      </c>
      <c r="Z31" s="7" t="s">
        <v>47</v>
      </c>
      <c r="AA31" s="10" t="s">
        <v>48</v>
      </c>
      <c r="AB31" s="11">
        <f t="shared" si="1"/>
        <v>2.43512E-2</v>
      </c>
    </row>
    <row r="32" spans="1:28" x14ac:dyDescent="0.35">
      <c r="A32" s="4">
        <v>5305</v>
      </c>
      <c r="B32" s="5" t="s">
        <v>141</v>
      </c>
      <c r="C32" s="6">
        <v>43726</v>
      </c>
      <c r="D32" s="7">
        <v>169</v>
      </c>
      <c r="E32" s="8" t="s">
        <v>50</v>
      </c>
      <c r="F32" s="7" t="s">
        <v>150</v>
      </c>
      <c r="G32" s="10" t="s">
        <v>151</v>
      </c>
      <c r="H32" s="7" t="str">
        <f>"000022"</f>
        <v>000022</v>
      </c>
      <c r="I32" s="6">
        <v>43629</v>
      </c>
      <c r="J32" s="7" t="str">
        <f>"000050"</f>
        <v>000050</v>
      </c>
      <c r="K32" s="6">
        <v>43694</v>
      </c>
      <c r="L32" s="7" t="str">
        <f>"000054"</f>
        <v>000054</v>
      </c>
      <c r="M32" s="6">
        <v>43694</v>
      </c>
      <c r="N32" s="7">
        <v>19</v>
      </c>
      <c r="O32" s="7" t="str">
        <f>"005174"</f>
        <v>005174</v>
      </c>
      <c r="P32" s="6">
        <v>43726</v>
      </c>
      <c r="Q32" s="11">
        <v>11.64152</v>
      </c>
      <c r="R32" s="11">
        <v>0.62804000000000004</v>
      </c>
      <c r="S32" s="11">
        <v>11.013479999999999</v>
      </c>
      <c r="T32" s="7">
        <v>192</v>
      </c>
      <c r="U32" s="6">
        <v>43726</v>
      </c>
      <c r="V32" s="7">
        <v>9663302055</v>
      </c>
      <c r="W32" s="10" t="s">
        <v>152</v>
      </c>
      <c r="X32" s="7" t="s">
        <v>153</v>
      </c>
      <c r="Y32" s="10" t="s">
        <v>154</v>
      </c>
      <c r="Z32" s="7" t="s">
        <v>47</v>
      </c>
      <c r="AA32" s="10" t="s">
        <v>48</v>
      </c>
      <c r="AB32" s="11">
        <f t="shared" si="1"/>
        <v>0.1164152</v>
      </c>
    </row>
    <row r="33" spans="1:28" x14ac:dyDescent="0.35">
      <c r="A33" s="4">
        <v>5306</v>
      </c>
      <c r="B33" s="5" t="s">
        <v>141</v>
      </c>
      <c r="C33" s="6">
        <v>43738</v>
      </c>
      <c r="D33" s="7">
        <v>169</v>
      </c>
      <c r="E33" s="8" t="s">
        <v>50</v>
      </c>
      <c r="F33" s="7" t="s">
        <v>155</v>
      </c>
      <c r="G33" s="10" t="s">
        <v>156</v>
      </c>
      <c r="H33" s="7" t="str">
        <f>"000025"</f>
        <v>000025</v>
      </c>
      <c r="I33" s="6">
        <v>43637</v>
      </c>
      <c r="J33" s="7" t="str">
        <f>"000053"</f>
        <v>000053</v>
      </c>
      <c r="K33" s="6">
        <v>43698</v>
      </c>
      <c r="L33" s="7" t="str">
        <f>"000058"</f>
        <v>000058</v>
      </c>
      <c r="M33" s="6">
        <v>43707</v>
      </c>
      <c r="N33" s="7">
        <v>19</v>
      </c>
      <c r="O33" s="7" t="str">
        <f>"005371"</f>
        <v>005371</v>
      </c>
      <c r="P33" s="6">
        <v>43729</v>
      </c>
      <c r="Q33" s="11">
        <v>24.381319999999999</v>
      </c>
      <c r="R33" s="11">
        <v>1.1253</v>
      </c>
      <c r="S33" s="11">
        <v>23.256019999999999</v>
      </c>
      <c r="T33" s="7">
        <v>207</v>
      </c>
      <c r="U33" s="6">
        <v>43738</v>
      </c>
      <c r="V33" s="7">
        <v>8553517773</v>
      </c>
      <c r="W33" s="10" t="s">
        <v>157</v>
      </c>
      <c r="X33" s="7" t="s">
        <v>136</v>
      </c>
      <c r="Y33" s="10" t="s">
        <v>137</v>
      </c>
      <c r="Z33" s="7" t="s">
        <v>47</v>
      </c>
      <c r="AA33" s="10" t="s">
        <v>48</v>
      </c>
      <c r="AB33" s="11">
        <f t="shared" si="1"/>
        <v>0.24381319999999998</v>
      </c>
    </row>
    <row r="34" spans="1:28" x14ac:dyDescent="0.35">
      <c r="A34" s="4">
        <v>5307</v>
      </c>
      <c r="B34" s="5" t="s">
        <v>141</v>
      </c>
      <c r="C34" s="6">
        <v>43738</v>
      </c>
      <c r="D34" s="7">
        <v>169</v>
      </c>
      <c r="E34" s="8" t="s">
        <v>50</v>
      </c>
      <c r="F34" s="7" t="s">
        <v>158</v>
      </c>
      <c r="G34" s="10" t="s">
        <v>159</v>
      </c>
      <c r="H34" s="7" t="str">
        <f>"000024"</f>
        <v>000024</v>
      </c>
      <c r="I34" s="6">
        <v>43635</v>
      </c>
      <c r="J34" s="7" t="str">
        <f>"000052"</f>
        <v>000052</v>
      </c>
      <c r="K34" s="6">
        <v>43698</v>
      </c>
      <c r="L34" s="7" t="str">
        <f>"000056"</f>
        <v>000056</v>
      </c>
      <c r="M34" s="6">
        <v>43707</v>
      </c>
      <c r="N34" s="7">
        <v>19</v>
      </c>
      <c r="O34" s="7" t="str">
        <f>"005372"</f>
        <v>005372</v>
      </c>
      <c r="P34" s="6">
        <v>43729</v>
      </c>
      <c r="Q34" s="11">
        <v>25.068249999999999</v>
      </c>
      <c r="R34" s="11">
        <v>1.2459800000000001</v>
      </c>
      <c r="S34" s="11">
        <v>23.82227</v>
      </c>
      <c r="T34" s="7">
        <v>207</v>
      </c>
      <c r="U34" s="6">
        <v>43738</v>
      </c>
      <c r="V34" s="7">
        <v>9945195765</v>
      </c>
      <c r="W34" s="10" t="s">
        <v>160</v>
      </c>
      <c r="X34" s="7" t="s">
        <v>120</v>
      </c>
      <c r="Y34" s="10" t="s">
        <v>121</v>
      </c>
      <c r="Z34" s="7" t="s">
        <v>47</v>
      </c>
      <c r="AA34" s="10" t="s">
        <v>48</v>
      </c>
      <c r="AB34" s="11">
        <f t="shared" si="1"/>
        <v>0.25068249999999997</v>
      </c>
    </row>
    <row r="35" spans="1:28" x14ac:dyDescent="0.35">
      <c r="A35" s="4">
        <v>5308</v>
      </c>
      <c r="B35" s="5" t="s">
        <v>161</v>
      </c>
      <c r="C35" s="6">
        <v>43741</v>
      </c>
      <c r="D35" s="4">
        <v>169</v>
      </c>
      <c r="E35" s="8" t="s">
        <v>50</v>
      </c>
      <c r="F35" s="7" t="s">
        <v>162</v>
      </c>
      <c r="G35" s="8" t="s">
        <v>163</v>
      </c>
      <c r="H35" s="7" t="str">
        <f>"000010"</f>
        <v>000010</v>
      </c>
      <c r="I35" s="6">
        <v>43601</v>
      </c>
      <c r="J35" s="7" t="str">
        <f>"000059"</f>
        <v>000059</v>
      </c>
      <c r="K35" s="6">
        <v>43717</v>
      </c>
      <c r="L35" s="7" t="str">
        <f>"000065"</f>
        <v>000065</v>
      </c>
      <c r="M35" s="6">
        <v>43721</v>
      </c>
      <c r="N35" s="7">
        <v>19</v>
      </c>
      <c r="O35" s="7" t="str">
        <f>"005449"</f>
        <v>005449</v>
      </c>
      <c r="P35" s="6">
        <v>43738</v>
      </c>
      <c r="Q35" s="9">
        <v>50.548789999999997</v>
      </c>
      <c r="R35" s="9">
        <v>2.5762999999999998</v>
      </c>
      <c r="S35" s="9">
        <v>47.972490000000001</v>
      </c>
      <c r="T35" s="7">
        <v>13</v>
      </c>
      <c r="U35" s="6">
        <v>43741</v>
      </c>
      <c r="V35" s="7">
        <v>9611673328</v>
      </c>
      <c r="W35" s="8" t="s">
        <v>81</v>
      </c>
      <c r="X35" s="7" t="s">
        <v>37</v>
      </c>
      <c r="Y35" s="8" t="s">
        <v>38</v>
      </c>
      <c r="Z35" s="7" t="s">
        <v>47</v>
      </c>
      <c r="AA35" s="8" t="s">
        <v>48</v>
      </c>
      <c r="AB35" s="9">
        <v>0.50548789999999999</v>
      </c>
    </row>
    <row r="36" spans="1:28" x14ac:dyDescent="0.35">
      <c r="A36" s="4">
        <v>5309</v>
      </c>
      <c r="B36" s="5" t="s">
        <v>161</v>
      </c>
      <c r="C36" s="6">
        <v>43752</v>
      </c>
      <c r="D36" s="4">
        <v>169</v>
      </c>
      <c r="E36" s="8" t="s">
        <v>50</v>
      </c>
      <c r="F36" s="7" t="s">
        <v>164</v>
      </c>
      <c r="G36" s="8" t="s">
        <v>165</v>
      </c>
      <c r="H36" s="7" t="str">
        <f>"000197"</f>
        <v>000197</v>
      </c>
      <c r="I36" s="6">
        <v>43531</v>
      </c>
      <c r="J36" s="7" t="str">
        <f>"000058"</f>
        <v>000058</v>
      </c>
      <c r="K36" s="6">
        <v>43711</v>
      </c>
      <c r="L36" s="7" t="str">
        <f>"000062"</f>
        <v>000062</v>
      </c>
      <c r="M36" s="6">
        <v>43717</v>
      </c>
      <c r="N36" s="7">
        <v>19</v>
      </c>
      <c r="O36" s="7" t="str">
        <f>"005465"</f>
        <v>005465</v>
      </c>
      <c r="P36" s="6">
        <v>43739</v>
      </c>
      <c r="Q36" s="9">
        <v>9.3241300000000003</v>
      </c>
      <c r="R36" s="9">
        <v>0.37809999999999999</v>
      </c>
      <c r="S36" s="9">
        <v>8.9460300000000004</v>
      </c>
      <c r="T36" s="7">
        <v>13</v>
      </c>
      <c r="U36" s="6">
        <v>43752</v>
      </c>
      <c r="V36" s="7">
        <v>8088882602</v>
      </c>
      <c r="W36" s="8" t="s">
        <v>166</v>
      </c>
      <c r="X36" s="7" t="s">
        <v>125</v>
      </c>
      <c r="Y36" s="8" t="s">
        <v>126</v>
      </c>
      <c r="Z36" s="7" t="s">
        <v>47</v>
      </c>
      <c r="AA36" s="8" t="s">
        <v>48</v>
      </c>
      <c r="AB36" s="9">
        <v>9.3241299999999999E-2</v>
      </c>
    </row>
    <row r="37" spans="1:28" x14ac:dyDescent="0.35">
      <c r="A37" s="4">
        <v>5310</v>
      </c>
      <c r="B37" s="5" t="s">
        <v>161</v>
      </c>
      <c r="C37" s="6">
        <v>43768</v>
      </c>
      <c r="D37" s="4">
        <v>169</v>
      </c>
      <c r="E37" s="8" t="s">
        <v>50</v>
      </c>
      <c r="F37" s="7" t="s">
        <v>167</v>
      </c>
      <c r="G37" s="8" t="s">
        <v>168</v>
      </c>
      <c r="H37" s="7" t="str">
        <f>"000199"</f>
        <v>000199</v>
      </c>
      <c r="I37" s="6">
        <v>43531</v>
      </c>
      <c r="J37" s="7" t="str">
        <f>"000062"</f>
        <v>000062</v>
      </c>
      <c r="K37" s="6">
        <v>43731</v>
      </c>
      <c r="L37" s="7" t="str">
        <f>"000070"</f>
        <v>000070</v>
      </c>
      <c r="M37" s="6">
        <v>43748</v>
      </c>
      <c r="N37" s="7">
        <v>19</v>
      </c>
      <c r="O37" s="7" t="str">
        <f>"005991"</f>
        <v>005991</v>
      </c>
      <c r="P37" s="6">
        <v>43763</v>
      </c>
      <c r="Q37" s="9">
        <v>24.767659999999999</v>
      </c>
      <c r="R37" s="9">
        <v>1.5011099999999999</v>
      </c>
      <c r="S37" s="9">
        <v>23.266549999999999</v>
      </c>
      <c r="T37" s="7">
        <v>13</v>
      </c>
      <c r="U37" s="6">
        <v>43768</v>
      </c>
      <c r="V37" s="7">
        <v>8088882602</v>
      </c>
      <c r="W37" s="8" t="s">
        <v>169</v>
      </c>
      <c r="X37" s="7" t="s">
        <v>153</v>
      </c>
      <c r="Y37" s="8" t="s">
        <v>154</v>
      </c>
      <c r="Z37" s="7" t="s">
        <v>47</v>
      </c>
      <c r="AA37" s="8" t="s">
        <v>48</v>
      </c>
      <c r="AB37" s="9">
        <v>0.2476766</v>
      </c>
    </row>
    <row r="38" spans="1:28" x14ac:dyDescent="0.35">
      <c r="A38" s="4">
        <v>5311</v>
      </c>
      <c r="B38" s="5" t="s">
        <v>161</v>
      </c>
      <c r="C38" s="6">
        <v>43769</v>
      </c>
      <c r="D38" s="4">
        <v>169</v>
      </c>
      <c r="E38" s="8" t="s">
        <v>50</v>
      </c>
      <c r="F38" s="7" t="s">
        <v>170</v>
      </c>
      <c r="G38" s="8" t="s">
        <v>171</v>
      </c>
      <c r="H38" s="7" t="str">
        <f>"000033"</f>
        <v>000033</v>
      </c>
      <c r="I38" s="6">
        <v>43682</v>
      </c>
      <c r="J38" s="7" t="str">
        <f>"000061"</f>
        <v>000061</v>
      </c>
      <c r="K38" s="6">
        <v>43729</v>
      </c>
      <c r="L38" s="7" t="str">
        <f>"000067"</f>
        <v>000067</v>
      </c>
      <c r="M38" s="6">
        <v>43729</v>
      </c>
      <c r="N38" s="7">
        <v>19</v>
      </c>
      <c r="O38" s="7" t="str">
        <f>"005896"</f>
        <v>005896</v>
      </c>
      <c r="P38" s="6">
        <v>43761</v>
      </c>
      <c r="Q38" s="9">
        <v>20.007909999999999</v>
      </c>
      <c r="R38" s="9">
        <v>1.1446499999999999</v>
      </c>
      <c r="S38" s="9">
        <v>18.86326</v>
      </c>
      <c r="T38" s="7">
        <v>13</v>
      </c>
      <c r="U38" s="6">
        <v>43769</v>
      </c>
      <c r="V38" s="7">
        <v>7019271846</v>
      </c>
      <c r="W38" s="8" t="s">
        <v>172</v>
      </c>
      <c r="X38" s="7" t="s">
        <v>173</v>
      </c>
      <c r="Y38" s="8" t="s">
        <v>174</v>
      </c>
      <c r="Z38" s="7" t="s">
        <v>47</v>
      </c>
      <c r="AA38" s="8" t="s">
        <v>48</v>
      </c>
      <c r="AB38" s="9">
        <v>0.20007909999999998</v>
      </c>
    </row>
    <row r="39" spans="1:28" x14ac:dyDescent="0.35">
      <c r="A39" s="4">
        <v>5312</v>
      </c>
      <c r="B39" s="5" t="s">
        <v>175</v>
      </c>
      <c r="C39" s="6">
        <v>43773</v>
      </c>
      <c r="D39" s="4">
        <v>169</v>
      </c>
      <c r="E39" s="8" t="s">
        <v>50</v>
      </c>
      <c r="F39" s="7" t="s">
        <v>176</v>
      </c>
      <c r="G39" s="8" t="s">
        <v>177</v>
      </c>
      <c r="H39" s="7" t="str">
        <f>"000029"</f>
        <v>000029</v>
      </c>
      <c r="I39" s="6">
        <v>43658</v>
      </c>
      <c r="J39" s="7" t="str">
        <f>"000065"</f>
        <v>000065</v>
      </c>
      <c r="K39" s="6">
        <v>43731</v>
      </c>
      <c r="L39" s="7" t="str">
        <f>"000072"</f>
        <v>000072</v>
      </c>
      <c r="M39" s="6">
        <v>43748</v>
      </c>
      <c r="N39" s="7">
        <v>19</v>
      </c>
      <c r="O39" s="7" t="str">
        <f>"006012"</f>
        <v>006012</v>
      </c>
      <c r="P39" s="6">
        <v>43768</v>
      </c>
      <c r="Q39" s="9">
        <v>9.08263</v>
      </c>
      <c r="R39" s="9">
        <v>0.99075000000000002</v>
      </c>
      <c r="S39" s="9">
        <v>8.0918799999999997</v>
      </c>
      <c r="T39" s="7">
        <v>13</v>
      </c>
      <c r="U39" s="6">
        <v>43773</v>
      </c>
      <c r="V39" s="7">
        <v>8088882602</v>
      </c>
      <c r="W39" s="8" t="s">
        <v>178</v>
      </c>
      <c r="X39" s="7" t="s">
        <v>37</v>
      </c>
      <c r="Y39" s="8" t="s">
        <v>38</v>
      </c>
      <c r="Z39" s="7" t="s">
        <v>47</v>
      </c>
      <c r="AA39" s="8" t="s">
        <v>48</v>
      </c>
      <c r="AB39" s="9">
        <v>9.0826299999999999E-2</v>
      </c>
    </row>
    <row r="40" spans="1:28" x14ac:dyDescent="0.35">
      <c r="A40" s="4">
        <v>5313</v>
      </c>
      <c r="B40" s="5" t="s">
        <v>175</v>
      </c>
      <c r="C40" s="6">
        <v>43773</v>
      </c>
      <c r="D40" s="4">
        <v>169</v>
      </c>
      <c r="E40" s="8" t="s">
        <v>50</v>
      </c>
      <c r="F40" s="7" t="s">
        <v>179</v>
      </c>
      <c r="G40" s="8" t="s">
        <v>180</v>
      </c>
      <c r="H40" s="7" t="str">
        <f>"000020"</f>
        <v>000020</v>
      </c>
      <c r="I40" s="6">
        <v>43629</v>
      </c>
      <c r="J40" s="7" t="str">
        <f>"000064"</f>
        <v>000064</v>
      </c>
      <c r="K40" s="6">
        <v>43731</v>
      </c>
      <c r="L40" s="7" t="str">
        <f>"000074"</f>
        <v>000074</v>
      </c>
      <c r="M40" s="6">
        <v>43748</v>
      </c>
      <c r="N40" s="7">
        <v>19</v>
      </c>
      <c r="O40" s="7" t="str">
        <f>"006013"</f>
        <v>006013</v>
      </c>
      <c r="P40" s="6">
        <v>43768</v>
      </c>
      <c r="Q40" s="9">
        <v>8.3419799999999995</v>
      </c>
      <c r="R40" s="9">
        <v>0.85197999999999996</v>
      </c>
      <c r="S40" s="9">
        <v>7.49</v>
      </c>
      <c r="T40" s="7">
        <v>13</v>
      </c>
      <c r="U40" s="6">
        <v>43773</v>
      </c>
      <c r="V40" s="7">
        <v>9663302055</v>
      </c>
      <c r="W40" s="8" t="s">
        <v>181</v>
      </c>
      <c r="X40" s="7" t="s">
        <v>37</v>
      </c>
      <c r="Y40" s="8" t="s">
        <v>38</v>
      </c>
      <c r="Z40" s="7" t="s">
        <v>47</v>
      </c>
      <c r="AA40" s="8" t="s">
        <v>48</v>
      </c>
      <c r="AB40" s="9">
        <v>8.3419799999999988E-2</v>
      </c>
    </row>
    <row r="41" spans="1:28" x14ac:dyDescent="0.35">
      <c r="A41" s="4">
        <v>5314</v>
      </c>
      <c r="B41" s="5" t="s">
        <v>175</v>
      </c>
      <c r="C41" s="6">
        <v>43773</v>
      </c>
      <c r="D41" s="4">
        <v>169</v>
      </c>
      <c r="E41" s="8" t="s">
        <v>50</v>
      </c>
      <c r="F41" s="7" t="s">
        <v>182</v>
      </c>
      <c r="G41" s="8" t="s">
        <v>183</v>
      </c>
      <c r="H41" s="7" t="str">
        <f>"000028"</f>
        <v>000028</v>
      </c>
      <c r="I41" s="6">
        <v>43658</v>
      </c>
      <c r="J41" s="7" t="str">
        <f>"000066"</f>
        <v>000066</v>
      </c>
      <c r="K41" s="6">
        <v>43731</v>
      </c>
      <c r="L41" s="7" t="str">
        <f>"000073"</f>
        <v>000073</v>
      </c>
      <c r="M41" s="6">
        <v>43748</v>
      </c>
      <c r="N41" s="7">
        <v>19</v>
      </c>
      <c r="O41" s="7" t="str">
        <f>"006014"</f>
        <v>006014</v>
      </c>
      <c r="P41" s="6">
        <v>43768</v>
      </c>
      <c r="Q41" s="9">
        <v>8.2054100000000005</v>
      </c>
      <c r="R41" s="9">
        <v>0.88515999999999995</v>
      </c>
      <c r="S41" s="9">
        <v>7.3202499999999997</v>
      </c>
      <c r="T41" s="7">
        <v>13</v>
      </c>
      <c r="U41" s="6">
        <v>43773</v>
      </c>
      <c r="V41" s="7">
        <v>9964587191</v>
      </c>
      <c r="W41" s="8" t="s">
        <v>184</v>
      </c>
      <c r="X41" s="7" t="s">
        <v>37</v>
      </c>
      <c r="Y41" s="8" t="s">
        <v>38</v>
      </c>
      <c r="Z41" s="7" t="s">
        <v>47</v>
      </c>
      <c r="AA41" s="8" t="s">
        <v>48</v>
      </c>
      <c r="AB41" s="9">
        <v>8.2054100000000005E-2</v>
      </c>
    </row>
    <row r="42" spans="1:28" x14ac:dyDescent="0.35">
      <c r="A42" s="4">
        <v>5315</v>
      </c>
      <c r="B42" s="5" t="s">
        <v>175</v>
      </c>
      <c r="C42" s="6">
        <v>43780</v>
      </c>
      <c r="D42" s="4">
        <v>169</v>
      </c>
      <c r="E42" s="8" t="s">
        <v>50</v>
      </c>
      <c r="F42" s="7" t="s">
        <v>185</v>
      </c>
      <c r="G42" s="8" t="s">
        <v>186</v>
      </c>
      <c r="H42" s="7" t="str">
        <f>"000189"</f>
        <v>000189</v>
      </c>
      <c r="I42" s="6">
        <v>43530</v>
      </c>
      <c r="J42" s="7" t="str">
        <f>"000063"</f>
        <v>000063</v>
      </c>
      <c r="K42" s="6">
        <v>43731</v>
      </c>
      <c r="L42" s="7" t="str">
        <f>"000071"</f>
        <v>000071</v>
      </c>
      <c r="M42" s="6">
        <v>43748</v>
      </c>
      <c r="N42" s="7">
        <v>19</v>
      </c>
      <c r="O42" s="7" t="str">
        <f>"006156"</f>
        <v>006156</v>
      </c>
      <c r="P42" s="6">
        <v>43776</v>
      </c>
      <c r="Q42" s="9">
        <v>20.367629999999998</v>
      </c>
      <c r="R42" s="9">
        <v>1.1358999999999999</v>
      </c>
      <c r="S42" s="9">
        <v>19.231729999999999</v>
      </c>
      <c r="T42" s="7">
        <v>13</v>
      </c>
      <c r="U42" s="6">
        <v>43780</v>
      </c>
      <c r="V42" s="7">
        <v>8088882602</v>
      </c>
      <c r="W42" s="8" t="s">
        <v>187</v>
      </c>
      <c r="X42" s="7" t="s">
        <v>173</v>
      </c>
      <c r="Y42" s="8" t="s">
        <v>174</v>
      </c>
      <c r="Z42" s="7" t="s">
        <v>47</v>
      </c>
      <c r="AA42" s="8" t="s">
        <v>48</v>
      </c>
      <c r="AB42" s="9">
        <v>0.20367629999999998</v>
      </c>
    </row>
    <row r="43" spans="1:28" x14ac:dyDescent="0.35">
      <c r="A43" s="4">
        <v>5316</v>
      </c>
      <c r="B43" s="5" t="s">
        <v>188</v>
      </c>
      <c r="C43" s="6">
        <v>43805</v>
      </c>
      <c r="D43" s="4">
        <v>169</v>
      </c>
      <c r="E43" s="8" t="s">
        <v>50</v>
      </c>
      <c r="F43" s="7" t="s">
        <v>54</v>
      </c>
      <c r="G43" s="8" t="s">
        <v>55</v>
      </c>
      <c r="H43" s="7" t="str">
        <f>"000014"</f>
        <v>000014</v>
      </c>
      <c r="I43" s="6">
        <v>42934</v>
      </c>
      <c r="J43" s="7" t="str">
        <f>"000200"</f>
        <v>000200</v>
      </c>
      <c r="K43" s="6">
        <v>43776</v>
      </c>
      <c r="L43" s="7" t="str">
        <f>"000200"</f>
        <v>000200</v>
      </c>
      <c r="M43" s="6">
        <v>43777</v>
      </c>
      <c r="N43" s="7">
        <v>16</v>
      </c>
      <c r="O43" s="7" t="str">
        <f>"006583"</f>
        <v>006583</v>
      </c>
      <c r="P43" s="6">
        <v>43803</v>
      </c>
      <c r="Q43" s="9">
        <v>2.6133500000000001</v>
      </c>
      <c r="R43" s="9">
        <v>0.20993999999999999</v>
      </c>
      <c r="S43" s="9">
        <v>2.40341</v>
      </c>
      <c r="T43" s="7">
        <v>13</v>
      </c>
      <c r="U43" s="6">
        <v>43805</v>
      </c>
      <c r="V43" s="7">
        <v>0</v>
      </c>
      <c r="W43" s="8" t="s">
        <v>56</v>
      </c>
      <c r="X43" s="7" t="s">
        <v>36</v>
      </c>
      <c r="Y43" s="8" t="s">
        <v>35</v>
      </c>
      <c r="Z43" s="7" t="s">
        <v>43</v>
      </c>
      <c r="AA43" s="8" t="s">
        <v>44</v>
      </c>
      <c r="AB43" s="9">
        <v>2.61335E-2</v>
      </c>
    </row>
    <row r="44" spans="1:28" x14ac:dyDescent="0.35">
      <c r="A44" s="4">
        <v>5317</v>
      </c>
      <c r="B44" s="5" t="s">
        <v>188</v>
      </c>
      <c r="C44" s="6">
        <v>43806</v>
      </c>
      <c r="D44" s="4">
        <v>169</v>
      </c>
      <c r="E44" s="8" t="s">
        <v>50</v>
      </c>
      <c r="F44" s="7" t="s">
        <v>189</v>
      </c>
      <c r="G44" s="8" t="s">
        <v>190</v>
      </c>
      <c r="H44" s="7" t="str">
        <f>"000195"</f>
        <v>000195</v>
      </c>
      <c r="I44" s="6">
        <v>43531</v>
      </c>
      <c r="J44" s="7" t="str">
        <f>"000067"</f>
        <v>000067</v>
      </c>
      <c r="K44" s="6">
        <v>43734</v>
      </c>
      <c r="L44" s="7" t="str">
        <f>"000076"</f>
        <v>000076</v>
      </c>
      <c r="M44" s="6">
        <v>43761</v>
      </c>
      <c r="N44" s="7">
        <v>19</v>
      </c>
      <c r="O44" s="7" t="str">
        <f>"006535"</f>
        <v>006535</v>
      </c>
      <c r="P44" s="6">
        <v>43802</v>
      </c>
      <c r="Q44" s="9">
        <v>6.8794899999999997</v>
      </c>
      <c r="R44" s="9">
        <v>0.38919999999999999</v>
      </c>
      <c r="S44" s="9">
        <v>6.4902899999999999</v>
      </c>
      <c r="T44" s="7">
        <v>13</v>
      </c>
      <c r="U44" s="6">
        <v>43806</v>
      </c>
      <c r="V44" s="7">
        <v>8088882602</v>
      </c>
      <c r="W44" s="8" t="s">
        <v>166</v>
      </c>
      <c r="X44" s="7" t="s">
        <v>120</v>
      </c>
      <c r="Y44" s="8" t="s">
        <v>121</v>
      </c>
      <c r="Z44" s="7" t="s">
        <v>47</v>
      </c>
      <c r="AA44" s="8" t="s">
        <v>48</v>
      </c>
      <c r="AB44" s="9">
        <v>6.8794899999999992E-2</v>
      </c>
    </row>
    <row r="45" spans="1:28" x14ac:dyDescent="0.35">
      <c r="A45" s="4">
        <v>5318</v>
      </c>
      <c r="B45" s="5" t="s">
        <v>188</v>
      </c>
      <c r="C45" s="6">
        <v>43820</v>
      </c>
      <c r="D45" s="4">
        <v>169</v>
      </c>
      <c r="E45" s="8" t="s">
        <v>50</v>
      </c>
      <c r="F45" s="7" t="s">
        <v>191</v>
      </c>
      <c r="G45" s="8" t="s">
        <v>192</v>
      </c>
      <c r="H45" s="7" t="str">
        <f>"000021"</f>
        <v>000021</v>
      </c>
      <c r="I45" s="6">
        <v>43629</v>
      </c>
      <c r="J45" s="7" t="str">
        <f>"000069"</f>
        <v>000069</v>
      </c>
      <c r="K45" s="6">
        <v>43777</v>
      </c>
      <c r="L45" s="7" t="str">
        <f>"000079"</f>
        <v>000079</v>
      </c>
      <c r="M45" s="6">
        <v>43787</v>
      </c>
      <c r="N45" s="7">
        <v>19</v>
      </c>
      <c r="O45" s="7" t="str">
        <f>"006888"</f>
        <v>006888</v>
      </c>
      <c r="P45" s="6">
        <v>43819</v>
      </c>
      <c r="Q45" s="9">
        <v>6.6574400000000002</v>
      </c>
      <c r="R45" s="9">
        <v>0.68294999999999995</v>
      </c>
      <c r="S45" s="9">
        <v>5.9744900000000003</v>
      </c>
      <c r="T45" s="7">
        <v>13</v>
      </c>
      <c r="U45" s="6">
        <v>43820</v>
      </c>
      <c r="V45" s="7">
        <v>9663302055</v>
      </c>
      <c r="W45" s="8" t="s">
        <v>181</v>
      </c>
      <c r="X45" s="7" t="s">
        <v>153</v>
      </c>
      <c r="Y45" s="8" t="s">
        <v>154</v>
      </c>
      <c r="Z45" s="7" t="s">
        <v>47</v>
      </c>
      <c r="AA45" s="8" t="s">
        <v>48</v>
      </c>
      <c r="AB45" s="9">
        <v>6.6574400000000006E-2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2020-01-30T07:01:37Z</dcterms:modified>
</cp:coreProperties>
</file>