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1" l="1"/>
  <c r="L35" i="1"/>
  <c r="J35" i="1"/>
  <c r="H35" i="1"/>
  <c r="O34" i="1"/>
  <c r="L34" i="1"/>
  <c r="J34" i="1"/>
  <c r="H34" i="1"/>
  <c r="O33" i="1"/>
  <c r="L33" i="1"/>
  <c r="J33" i="1"/>
  <c r="H33"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<sst xmlns="http://schemas.openxmlformats.org/spreadsheetml/2006/main" count="334" uniqueCount="150">
  <si>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</si>
  <si>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</si>
  <si>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</si>
  <si>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</si>
  <si>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</si>
  <si>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</si>
  <si>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</si>
  <si>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</si>
  <si>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</si>
  <si>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</si>
  <si>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</si>
  <si>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</si>
  <si>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</si>
  <si>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</si>
  <si>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</si>
  <si>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</si>
  <si>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</si>
  <si>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</si>
  <si>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</si>
  <si>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</si>
  <si>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</si>
  <si>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</si>
  <si>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</si>
  <si>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</si>
  <si>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</si>
  <si>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</si>
  <si>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</si>
  <si>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</si>
  <si>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</si>
  <si>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</si>
  <si>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</si>
  <si>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</si>
  <si>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</si>
  <si>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</si>
  <si>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</si>
  <si>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P3110</t>
  </si>
  <si>
    <t>14th Finance Commission Grant Works</t>
  </si>
  <si>
    <t>P3111</t>
  </si>
  <si>
    <t>State Finance Commission Untied Grant Works</t>
  </si>
  <si>
    <t>P3158</t>
  </si>
  <si>
    <t>SIP Infrastructure Project works</t>
  </si>
  <si>
    <t>P3292</t>
  </si>
  <si>
    <t>14th Finance Commission Works - Community Property Maintenance (including Parks)</t>
  </si>
  <si>
    <t>P3075</t>
  </si>
  <si>
    <t>Special comprehensive development works in Bangalore city (Bangalore city in charge Minister Discretionary Grants)</t>
  </si>
  <si>
    <t>P1878</t>
  </si>
  <si>
    <t>18per - Works (Bhagyajyothi, Sooru / Neeru Yojane and General) (54 Lakhs / New Wards)</t>
  </si>
  <si>
    <t>ddo313</t>
  </si>
  <si>
    <t xml:space="preserve"> Chief Engineer SWD Central Zone</t>
  </si>
  <si>
    <t>M/s KRIDL</t>
  </si>
  <si>
    <t>ddo258</t>
  </si>
  <si>
    <t xml:space="preserve"> Executive Engineer Electrical South Zone</t>
  </si>
  <si>
    <t>Executive Engineer-3</t>
  </si>
  <si>
    <t>P3297</t>
  </si>
  <si>
    <t>14th Finance Commission Grants - SWD Works</t>
  </si>
  <si>
    <t>ddo270</t>
  </si>
  <si>
    <t xml:space="preserve"> Assistant Executive Engineer BTM Layout South Zone</t>
  </si>
  <si>
    <t>Sri. Y H Krishna</t>
  </si>
  <si>
    <t>Sri. N Chethan Kumar</t>
  </si>
  <si>
    <t>Madivala</t>
  </si>
  <si>
    <t>172-17-000006</t>
  </si>
  <si>
    <t>Improvements to roads and drain in Cashier layout ward no 172</t>
  </si>
  <si>
    <t>P3175</t>
  </si>
  <si>
    <t>Special development works in ward No.172, 154, 197, 77, 75, 192, 102, 18, 41 (Rs.400 lakhs each ward)</t>
  </si>
  <si>
    <t>172-15-000010</t>
  </si>
  <si>
    <t>Construction of Foot Bridges across SWD at Venkateshwara Layout and Dollars Colony BTM 1st stage in ward No 172 Madiwala</t>
  </si>
  <si>
    <t>Almas Construction Abdul Khalak</t>
  </si>
  <si>
    <t>172-15-000004</t>
  </si>
  <si>
    <t>Urgent work under emergency grant for the year 2014 15 in ward No 172 Madiwala</t>
  </si>
  <si>
    <t>172-18-000019</t>
  </si>
  <si>
    <t xml:space="preserve">Additional renavation Work to Sri Muneswara Temple at 20th main Madiwala Ward No:172 </t>
  </si>
  <si>
    <t>Venkataramappa</t>
  </si>
  <si>
    <t>172-16-000001</t>
  </si>
  <si>
    <t>Operation and Maintenance of Street Lighting System in Ward No.172 Package S-26 of South Zone</t>
  </si>
  <si>
    <t>M/s. Lakshmikantha Electricals (Thimmappa.R)</t>
  </si>
  <si>
    <t>172-17-000041</t>
  </si>
  <si>
    <t>Consultancy services for preparation of DPR for the work of Improvements to drain, footpath and Asphalting to selected Arterial, Sub-Arterial Roads and other connecting roads in South zone South 2016-17-Package No.20</t>
  </si>
  <si>
    <t>M/s Sapience Consultants and Engineers</t>
  </si>
  <si>
    <t>172-15-000023</t>
  </si>
  <si>
    <t xml:space="preserve">Improvements to foot path and Desilting of drains in Tavarekere Main Road including Cashier Layout in BTM 1st stage Ward No. 172 Madiwala. </t>
  </si>
  <si>
    <t>Sri. T Venkatesh</t>
  </si>
  <si>
    <t>172-17-000051</t>
  </si>
  <si>
    <t>Providing CC Camera at Garbage block spots in ward no 172</t>
  </si>
  <si>
    <t>172-18-000023</t>
  </si>
  <si>
    <t xml:space="preserve">Digging new borewell, RO Plant and Construction Mini Water Supply System in ward No:172 Madiwala </t>
  </si>
  <si>
    <t>172-18-000025</t>
  </si>
  <si>
    <t xml:space="preserve">Improvements of Secondary and territiary Storm water drains in ward no 172 Madiwala </t>
  </si>
  <si>
    <t>172-17-000027</t>
  </si>
  <si>
    <t>Improvements to roads and drains in 36 th Main and cross roads in Dollers Colony , Ward No. 172, Madiwala</t>
  </si>
  <si>
    <t>172-18-000010</t>
  </si>
  <si>
    <t xml:space="preserve">Additional Works to the Community hall at Madduramma Colony in Ward No:172 Madiwala </t>
  </si>
  <si>
    <t>Almas Construction Pror. Abdul Khalak</t>
  </si>
  <si>
    <t>172-19-000041</t>
  </si>
  <si>
    <t>Construction of RCC drian in 2nd cross and Surrounding area at Jaibheemanagara in ward no 172 Madiwala</t>
  </si>
  <si>
    <t>172-19-000043</t>
  </si>
  <si>
    <t>Construction of RCC drian in 4th cross and Surrounding area at Jaibheemanagara in ward no 172 Madiwala</t>
  </si>
  <si>
    <t>172-19-000040</t>
  </si>
  <si>
    <t>Construction of RCC drian in 1st cross and Surrounding area at Jaibheemanagara in ward no 172 Madiwala</t>
  </si>
  <si>
    <t>172-19-000042</t>
  </si>
  <si>
    <t>Construction of RCC drian in 3rdcross and Surrounding area at Jaibheemanagara in ward no 172 Madiwala</t>
  </si>
  <si>
    <t>172-16-000005</t>
  </si>
  <si>
    <t>Improvements to drains and  foot path in V.P.Road from 13th cross to SWD in ward No-172 Madiwala</t>
  </si>
  <si>
    <t>Srikanta</t>
  </si>
  <si>
    <t>172-18-000020</t>
  </si>
  <si>
    <t xml:space="preserve">Construction of  Culverts and  Drains at VP road in ward No 172 Madiwala </t>
  </si>
  <si>
    <t>July</t>
  </si>
  <si>
    <t>172-17-000026</t>
  </si>
  <si>
    <t>Improvements to drains and footpath from 16th Main to Urdu medium School in Ward No:172, Madiwala</t>
  </si>
  <si>
    <t>Lokesh K. T</t>
  </si>
  <si>
    <t>172-17-000001</t>
  </si>
  <si>
    <t>Construction of Dialysis Centre at BTM layout Assembly Constituency</t>
  </si>
  <si>
    <t>172-15-000019</t>
  </si>
  <si>
    <t>Improvements to Drains and maintanance works at Venkateshwara layout and V P road in ward no 172 Madiwala</t>
  </si>
  <si>
    <t>Sri. Prakash H S</t>
  </si>
  <si>
    <t>P3055</t>
  </si>
  <si>
    <t>Development works in ward no 195,128,179,180,138,27,190,133,4,32,69,8,172,103,10 (Rs. 300.00 Lakhs/ward)</t>
  </si>
  <si>
    <t>August</t>
  </si>
  <si>
    <t>172-15-000026</t>
  </si>
  <si>
    <t xml:space="preserve">Improvements to foot path and Desilting of drains in 16th main road and Providing Mangalore tiled roof shelter at first floor of office of the AEE, BTM Layout Sub Division, BBMP, in ward No. 172 Madiwala. </t>
  </si>
  <si>
    <t>Mohan Kumar</t>
  </si>
  <si>
    <t>172-15-000030</t>
  </si>
  <si>
    <t xml:space="preserve">Providing additional Sadarahalli BS Slabs to Ashwathakatte and Providing MS Barricade, connected railings and other works to SWD near Silk Board Junction in ward No. 172 Madiwala </t>
  </si>
  <si>
    <t>172-18-000004</t>
  </si>
  <si>
    <t>Sinking and energizing borewells in ward no 172 Madiwala</t>
  </si>
  <si>
    <t>P3293</t>
  </si>
  <si>
    <t>14th Finance Commission Works - Drinking Water</t>
  </si>
  <si>
    <t>172-18-000021</t>
  </si>
  <si>
    <t xml:space="preserve">Construction of Additional Works to the Samudaya Bhavana At Jaibheem Nagar in Ward No:172 Madiwala </t>
  </si>
  <si>
    <t>KRIDL</t>
  </si>
  <si>
    <t>ddo422</t>
  </si>
  <si>
    <t xml:space="preserve"> Executive Engineer Project - South Zone</t>
  </si>
  <si>
    <t>September</t>
  </si>
  <si>
    <t>172-17-000009</t>
  </si>
  <si>
    <t>Improvements to drains and footpath to the soulthern side of the 100 feet ring road from 12th A main road to 16th main road in BTM constituency</t>
  </si>
  <si>
    <t>172-15-000016</t>
  </si>
  <si>
    <t>Improvements to drain in 2nd cross sourthern side from 29th main to Mariyamma Temple in BTM 1st stage in ward no 172 Madiwala</t>
  </si>
  <si>
    <t>Sri. V T Shankar Narayana Reddy</t>
  </si>
  <si>
    <t>November</t>
  </si>
  <si>
    <t>December</t>
  </si>
  <si>
    <t>172-19-000039</t>
  </si>
  <si>
    <t>Providing installation and commissioning of CCTV Camera at Dollarscheme area block spots in ward 172 Madiwala</t>
  </si>
  <si>
    <t>Sri Lakshman H Pujari</t>
  </si>
  <si>
    <t>P3298</t>
  </si>
  <si>
    <t>14th Finance Commission Works - SWM Works</t>
  </si>
  <si>
    <t>172-19-000030</t>
  </si>
  <si>
    <t>Sinking and energinsing new borewells and construction of RO Plant and repairs to existing borewells in Tavarekere and surrounding area in ward no 172 Madiwala</t>
  </si>
  <si>
    <t>Sri Rangashamaiah</t>
  </si>
  <si>
    <t>172-17-000022</t>
  </si>
  <si>
    <t>Depot Collection for the Year 2016-17 in Ward NO.172 Madiwala</t>
  </si>
  <si>
    <t>Srinivasa Reddy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</si>
</sst>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abSelected="1" workbookViewId="0">
      <selection activeCell="A2" sqref="A2:XFD35"/>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5363</v>
      </c>
      <c r="B2" s="5" t="s">
        <v>28</v>
      </c>
      <c r="C2" s="6">
        <v>43566</v>
      </c>
      <c r="D2" s="7">
        <v>172</v>
      </c>
      <c r="E2" s="8" t="s">
        <v>59</v>
      </c>
      <c r="F2" s="7" t="s">
        <v>60</v>
      </c>
      <c r="G2" s="8" t="s">
        <v>61</v>
      </c>
      <c r="H2" s="7" t="str">
        <f>".00058"</f>
        <v>.00058</v>
      </c>
      <c r="I2" s="6">
        <v>42916</v>
      </c>
      <c r="J2" s="7" t="str">
        <f>"000085"</f>
        <v>000085</v>
      </c>
      <c r="K2" s="6">
        <v>42916</v>
      </c>
      <c r="L2" s="7" t="str">
        <f>"000192"</f>
        <v>000192</v>
      </c>
      <c r="M2" s="6">
        <v>42916</v>
      </c>
      <c r="N2" s="7">
        <v>17</v>
      </c>
      <c r="O2" s="7" t="str">
        <f>"000090"</f>
        <v>000090</v>
      </c>
      <c r="P2" s="6">
        <v>43563</v>
      </c>
      <c r="Q2" s="9">
        <v>13.04684</v>
      </c>
      <c r="R2" s="9">
        <v>1.97986</v>
      </c>
      <c r="S2" s="9">
        <v>11.066979999999999</v>
      </c>
      <c r="T2" s="7">
        <v>12</v>
      </c>
      <c r="U2" s="6">
        <v>43566</v>
      </c>
      <c r="V2" s="7">
        <v>9739005888</v>
      </c>
      <c r="W2" s="8" t="s">
        <v>49</v>
      </c>
      <c r="X2" s="7" t="s">
        <v>62</v>
      </c>
      <c r="Y2" s="8" t="s">
        <v>63</v>
      </c>
      <c r="Z2" s="7" t="s">
        <v>55</v>
      </c>
      <c r="AA2" s="8" t="s">
        <v>56</v>
      </c>
      <c r="AB2" s="9">
        <f t="shared" ref="AB2:AB14" si="0">Q2/100</f>
        <v>0.13046839999999998</v>
      </c>
    </row>
    <row r="3" spans="1:28" x14ac:dyDescent="0.35">
      <c r="A3" s="4">
        <v>5364</v>
      </c>
      <c r="B3" s="5" t="s">
        <v>28</v>
      </c>
      <c r="C3" s="6">
        <v>43566</v>
      </c>
      <c r="D3" s="7">
        <v>172</v>
      </c>
      <c r="E3" s="8" t="s">
        <v>59</v>
      </c>
      <c r="F3" s="7" t="s">
        <v>64</v>
      </c>
      <c r="G3" s="8" t="s">
        <v>65</v>
      </c>
      <c r="H3" s="7" t="str">
        <f>"00011."</f>
        <v>00011.</v>
      </c>
      <c r="I3" s="6">
        <v>42916</v>
      </c>
      <c r="J3" s="7" t="str">
        <f>"000081"</f>
        <v>000081</v>
      </c>
      <c r="K3" s="6">
        <v>42916</v>
      </c>
      <c r="L3" s="7" t="str">
        <f>"000188"</f>
        <v>000188</v>
      </c>
      <c r="M3" s="6">
        <v>42916</v>
      </c>
      <c r="N3" s="7">
        <v>15</v>
      </c>
      <c r="O3" s="7" t="str">
        <f>"000153"</f>
        <v>000153</v>
      </c>
      <c r="P3" s="6">
        <v>43563</v>
      </c>
      <c r="Q3" s="9">
        <v>22.90964</v>
      </c>
      <c r="R3" s="9">
        <v>9.6004400000000008</v>
      </c>
      <c r="S3" s="9">
        <v>13.309200000000001</v>
      </c>
      <c r="T3" s="7">
        <v>12</v>
      </c>
      <c r="U3" s="6">
        <v>43566</v>
      </c>
      <c r="V3" s="7">
        <v>9448118398</v>
      </c>
      <c r="W3" s="8" t="s">
        <v>66</v>
      </c>
      <c r="X3" s="7" t="s">
        <v>30</v>
      </c>
      <c r="Y3" s="8" t="s">
        <v>31</v>
      </c>
      <c r="Z3" s="7" t="s">
        <v>55</v>
      </c>
      <c r="AA3" s="8" t="s">
        <v>56</v>
      </c>
      <c r="AB3" s="9">
        <f t="shared" si="0"/>
        <v>0.22909640000000001</v>
      </c>
    </row>
    <row r="4" spans="1:28" x14ac:dyDescent="0.35">
      <c r="A4" s="4">
        <v>5365</v>
      </c>
      <c r="B4" s="5" t="s">
        <v>28</v>
      </c>
      <c r="C4" s="6">
        <v>43566</v>
      </c>
      <c r="D4" s="7">
        <v>172</v>
      </c>
      <c r="E4" s="8" t="s">
        <v>59</v>
      </c>
      <c r="F4" s="7" t="s">
        <v>67</v>
      </c>
      <c r="G4" s="8" t="s">
        <v>68</v>
      </c>
      <c r="H4" s="7" t="str">
        <f>"000012"</f>
        <v>000012</v>
      </c>
      <c r="I4" s="6">
        <v>42916</v>
      </c>
      <c r="J4" s="7" t="str">
        <f>"000080"</f>
        <v>000080</v>
      </c>
      <c r="K4" s="6">
        <v>42916</v>
      </c>
      <c r="L4" s="7" t="str">
        <f>"000189"</f>
        <v>000189</v>
      </c>
      <c r="M4" s="6">
        <v>42916</v>
      </c>
      <c r="N4" s="7">
        <v>15</v>
      </c>
      <c r="O4" s="7" t="str">
        <f>"000154"</f>
        <v>000154</v>
      </c>
      <c r="P4" s="6">
        <v>43563</v>
      </c>
      <c r="Q4" s="9">
        <v>20.151959999999999</v>
      </c>
      <c r="R4" s="9">
        <v>12.671569999999999</v>
      </c>
      <c r="S4" s="9">
        <v>7.4803899999999999</v>
      </c>
      <c r="T4" s="7">
        <v>12</v>
      </c>
      <c r="U4" s="6">
        <v>43566</v>
      </c>
      <c r="V4" s="7">
        <v>9448118398</v>
      </c>
      <c r="W4" s="8" t="s">
        <v>66</v>
      </c>
      <c r="X4" s="7" t="s">
        <v>30</v>
      </c>
      <c r="Y4" s="8" t="s">
        <v>31</v>
      </c>
      <c r="Z4" s="7" t="s">
        <v>55</v>
      </c>
      <c r="AA4" s="8" t="s">
        <v>56</v>
      </c>
      <c r="AB4" s="9">
        <f t="shared" si="0"/>
        <v>0.20151959999999999</v>
      </c>
    </row>
    <row r="5" spans="1:28" x14ac:dyDescent="0.35">
      <c r="A5" s="4">
        <v>5366</v>
      </c>
      <c r="B5" s="5" t="s">
        <v>28</v>
      </c>
      <c r="C5" s="6">
        <v>43566</v>
      </c>
      <c r="D5" s="7">
        <v>172</v>
      </c>
      <c r="E5" s="8" t="s">
        <v>59</v>
      </c>
      <c r="F5" s="7" t="s">
        <v>69</v>
      </c>
      <c r="G5" s="8" t="s">
        <v>70</v>
      </c>
      <c r="H5" s="7" t="str">
        <f>"000436"</f>
        <v>000436</v>
      </c>
      <c r="I5" s="6">
        <v>43519</v>
      </c>
      <c r="J5" s="7" t="str">
        <f>"000113"</f>
        <v>000113</v>
      </c>
      <c r="K5" s="6">
        <v>43521</v>
      </c>
      <c r="L5" s="7" t="str">
        <f>"000246"</f>
        <v>000246</v>
      </c>
      <c r="M5" s="6">
        <v>43526</v>
      </c>
      <c r="N5" s="7">
        <v>18</v>
      </c>
      <c r="O5" s="7" t="str">
        <f>"000356"</f>
        <v>000356</v>
      </c>
      <c r="P5" s="6">
        <v>43566</v>
      </c>
      <c r="Q5" s="9">
        <v>4.2096799999999996</v>
      </c>
      <c r="R5" s="9">
        <v>0.41403000000000001</v>
      </c>
      <c r="S5" s="9">
        <v>3.7956500000000002</v>
      </c>
      <c r="T5" s="7">
        <v>13</v>
      </c>
      <c r="U5" s="6">
        <v>43566</v>
      </c>
      <c r="V5" s="7">
        <v>9482712997</v>
      </c>
      <c r="W5" s="8" t="s">
        <v>71</v>
      </c>
      <c r="X5" s="7" t="s">
        <v>37</v>
      </c>
      <c r="Y5" s="8" t="s">
        <v>38</v>
      </c>
      <c r="Z5" s="7" t="s">
        <v>55</v>
      </c>
      <c r="AA5" s="8" t="s">
        <v>56</v>
      </c>
      <c r="AB5" s="9">
        <f t="shared" si="0"/>
        <v>4.2096799999999997E-2</v>
      </c>
    </row>
    <row r="6" spans="1:28" x14ac:dyDescent="0.35">
      <c r="A6" s="4">
        <v>5367</v>
      </c>
      <c r="B6" s="5" t="s">
        <v>28</v>
      </c>
      <c r="C6" s="6">
        <v>43567</v>
      </c>
      <c r="D6" s="7">
        <v>172</v>
      </c>
      <c r="E6" s="8" t="s">
        <v>59</v>
      </c>
      <c r="F6" s="7" t="s">
        <v>72</v>
      </c>
      <c r="G6" s="8" t="s">
        <v>73</v>
      </c>
      <c r="H6" s="7" t="str">
        <f>"000038"</f>
        <v>000038</v>
      </c>
      <c r="I6" s="6">
        <v>42931</v>
      </c>
      <c r="J6" s="7" t="str">
        <f>"000169"</f>
        <v>000169</v>
      </c>
      <c r="K6" s="6">
        <v>43482</v>
      </c>
      <c r="L6" s="7" t="str">
        <f>"000170"</f>
        <v>000170</v>
      </c>
      <c r="M6" s="6">
        <v>43482</v>
      </c>
      <c r="N6" s="7">
        <v>16</v>
      </c>
      <c r="O6" s="7" t="str">
        <f>"000789"</f>
        <v>000789</v>
      </c>
      <c r="P6" s="6">
        <v>43578</v>
      </c>
      <c r="Q6" s="9">
        <v>5.8291899999999996</v>
      </c>
      <c r="R6" s="9">
        <v>0.51285999999999998</v>
      </c>
      <c r="S6" s="9">
        <v>5.3163299999999998</v>
      </c>
      <c r="T6" s="7">
        <v>17</v>
      </c>
      <c r="U6" s="6">
        <v>43567</v>
      </c>
      <c r="V6" s="7">
        <v>0</v>
      </c>
      <c r="W6" s="8" t="s">
        <v>74</v>
      </c>
      <c r="X6" s="7" t="s">
        <v>34</v>
      </c>
      <c r="Y6" s="8" t="s">
        <v>33</v>
      </c>
      <c r="Z6" s="7" t="s">
        <v>50</v>
      </c>
      <c r="AA6" s="8" t="s">
        <v>51</v>
      </c>
      <c r="AB6" s="9">
        <f t="shared" si="0"/>
        <v>5.8291899999999994E-2</v>
      </c>
    </row>
    <row r="7" spans="1:28" x14ac:dyDescent="0.35">
      <c r="A7" s="4">
        <v>5368</v>
      </c>
      <c r="B7" s="5" t="s">
        <v>28</v>
      </c>
      <c r="C7" s="6">
        <v>43571</v>
      </c>
      <c r="D7" s="7">
        <v>172</v>
      </c>
      <c r="E7" s="8" t="s">
        <v>59</v>
      </c>
      <c r="F7" s="7" t="s">
        <v>75</v>
      </c>
      <c r="G7" s="8" t="s">
        <v>76</v>
      </c>
      <c r="H7" s="7" t="str">
        <f>"000021"</f>
        <v>000021</v>
      </c>
      <c r="I7" s="6">
        <v>42637</v>
      </c>
      <c r="J7" s="7" t="str">
        <f>"000061"</f>
        <v>000061</v>
      </c>
      <c r="K7" s="6">
        <v>42824</v>
      </c>
      <c r="L7" s="7" t="str">
        <f>"000061"</f>
        <v>000061</v>
      </c>
      <c r="M7" s="6">
        <v>42824</v>
      </c>
      <c r="N7" s="7">
        <v>17</v>
      </c>
      <c r="O7" s="7" t="str">
        <f>"000595"</f>
        <v>000595</v>
      </c>
      <c r="P7" s="6">
        <v>42847</v>
      </c>
      <c r="Q7" s="9">
        <v>1.92</v>
      </c>
      <c r="R7" s="9">
        <v>0.192</v>
      </c>
      <c r="S7" s="9">
        <v>1.728</v>
      </c>
      <c r="T7" s="7">
        <v>18</v>
      </c>
      <c r="U7" s="6">
        <v>43571</v>
      </c>
      <c r="V7" s="7">
        <v>9448853634</v>
      </c>
      <c r="W7" s="8" t="s">
        <v>77</v>
      </c>
      <c r="X7" s="7" t="s">
        <v>39</v>
      </c>
      <c r="Y7" s="8" t="s">
        <v>40</v>
      </c>
      <c r="Z7" s="7" t="s">
        <v>55</v>
      </c>
      <c r="AA7" s="8" t="s">
        <v>56</v>
      </c>
      <c r="AB7" s="9">
        <f t="shared" si="0"/>
        <v>1.9199999999999998E-2</v>
      </c>
    </row>
    <row r="8" spans="1:28" x14ac:dyDescent="0.35">
      <c r="A8" s="4">
        <v>5369</v>
      </c>
      <c r="B8" s="5" t="s">
        <v>28</v>
      </c>
      <c r="C8" s="6">
        <v>43580</v>
      </c>
      <c r="D8" s="7">
        <v>172</v>
      </c>
      <c r="E8" s="8" t="s">
        <v>59</v>
      </c>
      <c r="F8" s="7" t="s">
        <v>72</v>
      </c>
      <c r="G8" s="8" t="s">
        <v>73</v>
      </c>
      <c r="H8" s="7" t="str">
        <f>"000038"</f>
        <v>000038</v>
      </c>
      <c r="I8" s="6">
        <v>42931</v>
      </c>
      <c r="J8" s="7" t="str">
        <f>"000038"</f>
        <v>000038</v>
      </c>
      <c r="K8" s="6">
        <v>43599</v>
      </c>
      <c r="L8" s="7" t="str">
        <f>"000041"</f>
        <v>000041</v>
      </c>
      <c r="M8" s="6">
        <v>43599</v>
      </c>
      <c r="N8" s="7">
        <v>16</v>
      </c>
      <c r="O8" s="7" t="str">
        <f>""</f>
        <v/>
      </c>
      <c r="P8" s="6"/>
      <c r="Q8" s="9">
        <v>4.8576600000000001</v>
      </c>
      <c r="R8" s="9">
        <v>0.43947999999999998</v>
      </c>
      <c r="S8" s="9">
        <v>4.4181800000000004</v>
      </c>
      <c r="T8" s="7">
        <v>29</v>
      </c>
      <c r="U8" s="6">
        <v>43580</v>
      </c>
      <c r="V8" s="7">
        <v>0</v>
      </c>
      <c r="W8" s="8" t="s">
        <v>74</v>
      </c>
      <c r="X8" s="7" t="s">
        <v>34</v>
      </c>
      <c r="Y8" s="8" t="s">
        <v>33</v>
      </c>
      <c r="Z8" s="7" t="s">
        <v>50</v>
      </c>
      <c r="AA8" s="8" t="s">
        <v>51</v>
      </c>
      <c r="AB8" s="9">
        <f t="shared" si="0"/>
        <v>4.8576599999999998E-2</v>
      </c>
    </row>
    <row r="9" spans="1:28" x14ac:dyDescent="0.35">
      <c r="A9" s="4">
        <v>5370</v>
      </c>
      <c r="B9" s="5" t="s">
        <v>32</v>
      </c>
      <c r="C9" s="6">
        <v>43591</v>
      </c>
      <c r="D9" s="7">
        <v>172</v>
      </c>
      <c r="E9" s="8" t="s">
        <v>59</v>
      </c>
      <c r="F9" s="7" t="s">
        <v>78</v>
      </c>
      <c r="G9" s="8" t="s">
        <v>79</v>
      </c>
      <c r="H9" s="7" t="str">
        <f>"000019"</f>
        <v>000019</v>
      </c>
      <c r="I9" s="6">
        <v>42935</v>
      </c>
      <c r="J9" s="7" t="str">
        <f>"000024"</f>
        <v>000024</v>
      </c>
      <c r="K9" s="6">
        <v>42936</v>
      </c>
      <c r="L9" s="7" t="str">
        <f>"000033"</f>
        <v>000033</v>
      </c>
      <c r="M9" s="6">
        <v>42936</v>
      </c>
      <c r="N9" s="7">
        <v>15</v>
      </c>
      <c r="O9" s="7" t="str">
        <f>"001187"</f>
        <v>001187</v>
      </c>
      <c r="P9" s="6">
        <v>43582</v>
      </c>
      <c r="Q9" s="9">
        <v>19.648070000000001</v>
      </c>
      <c r="R9" s="9">
        <v>2.7439200000000001</v>
      </c>
      <c r="S9" s="9">
        <v>16.904150000000001</v>
      </c>
      <c r="T9" s="7">
        <v>37</v>
      </c>
      <c r="U9" s="6">
        <v>43591</v>
      </c>
      <c r="V9" s="7">
        <v>9986960367</v>
      </c>
      <c r="W9" s="8" t="s">
        <v>80</v>
      </c>
      <c r="X9" s="7" t="s">
        <v>43</v>
      </c>
      <c r="Y9" s="8" t="s">
        <v>44</v>
      </c>
      <c r="Z9" s="7" t="s">
        <v>55</v>
      </c>
      <c r="AA9" s="8" t="s">
        <v>56</v>
      </c>
      <c r="AB9" s="9">
        <f t="shared" si="0"/>
        <v>0.19648070000000001</v>
      </c>
    </row>
    <row r="10" spans="1:28" x14ac:dyDescent="0.35">
      <c r="A10" s="4">
        <v>5371</v>
      </c>
      <c r="B10" s="5" t="s">
        <v>32</v>
      </c>
      <c r="C10" s="6">
        <v>43598</v>
      </c>
      <c r="D10" s="7">
        <v>172</v>
      </c>
      <c r="E10" s="8" t="s">
        <v>59</v>
      </c>
      <c r="F10" s="7" t="s">
        <v>81</v>
      </c>
      <c r="G10" s="8" t="s">
        <v>82</v>
      </c>
      <c r="H10" s="7" t="str">
        <f>"000462"</f>
        <v>000462</v>
      </c>
      <c r="I10" s="6">
        <v>43523</v>
      </c>
      <c r="J10" s="7" t="str">
        <f>"000127"</f>
        <v>000127</v>
      </c>
      <c r="K10" s="6">
        <v>43544</v>
      </c>
      <c r="L10" s="7" t="str">
        <f>"000256"</f>
        <v>000256</v>
      </c>
      <c r="M10" s="6">
        <v>43552</v>
      </c>
      <c r="N10" s="7">
        <v>17</v>
      </c>
      <c r="O10" s="7" t="str">
        <f>"001410"</f>
        <v>001410</v>
      </c>
      <c r="P10" s="6">
        <v>43595</v>
      </c>
      <c r="Q10" s="9">
        <v>9.8484099999999994</v>
      </c>
      <c r="R10" s="9">
        <v>1.1752499999999999</v>
      </c>
      <c r="S10" s="9">
        <v>8.6731599999999993</v>
      </c>
      <c r="T10" s="7">
        <v>41</v>
      </c>
      <c r="U10" s="6">
        <v>43598</v>
      </c>
      <c r="V10" s="7">
        <v>9845029159</v>
      </c>
      <c r="W10" s="8" t="s">
        <v>49</v>
      </c>
      <c r="X10" s="7" t="s">
        <v>35</v>
      </c>
      <c r="Y10" s="8" t="s">
        <v>36</v>
      </c>
      <c r="Z10" s="7" t="s">
        <v>55</v>
      </c>
      <c r="AA10" s="8" t="s">
        <v>56</v>
      </c>
      <c r="AB10" s="9">
        <f t="shared" si="0"/>
        <v>9.8484099999999991E-2</v>
      </c>
    </row>
    <row r="11" spans="1:28" x14ac:dyDescent="0.35">
      <c r="A11" s="4">
        <v>5372</v>
      </c>
      <c r="B11" s="5" t="s">
        <v>32</v>
      </c>
      <c r="C11" s="6">
        <v>43600</v>
      </c>
      <c r="D11" s="7">
        <v>172</v>
      </c>
      <c r="E11" s="8" t="s">
        <v>59</v>
      </c>
      <c r="F11" s="7" t="s">
        <v>83</v>
      </c>
      <c r="G11" s="8" t="s">
        <v>84</v>
      </c>
      <c r="H11" s="7" t="str">
        <f>"000317"</f>
        <v>000317</v>
      </c>
      <c r="I11" s="6">
        <v>43433</v>
      </c>
      <c r="J11" s="7" t="str">
        <f>"000128"</f>
        <v>000128</v>
      </c>
      <c r="K11" s="6">
        <v>43544</v>
      </c>
      <c r="L11" s="7" t="str">
        <f>"000252"</f>
        <v>000252</v>
      </c>
      <c r="M11" s="6">
        <v>43547</v>
      </c>
      <c r="N11" s="7">
        <v>18</v>
      </c>
      <c r="O11" s="7" t="str">
        <f>"001467"</f>
        <v>001467</v>
      </c>
      <c r="P11" s="6">
        <v>43598</v>
      </c>
      <c r="Q11" s="9">
        <v>19.089269999999999</v>
      </c>
      <c r="R11" s="9">
        <v>0.96904000000000001</v>
      </c>
      <c r="S11" s="9">
        <v>18.120229999999999</v>
      </c>
      <c r="T11" s="7">
        <v>44</v>
      </c>
      <c r="U11" s="6">
        <v>43600</v>
      </c>
      <c r="V11" s="7">
        <v>9845135453</v>
      </c>
      <c r="W11" s="8" t="s">
        <v>57</v>
      </c>
      <c r="X11" s="7" t="s">
        <v>37</v>
      </c>
      <c r="Y11" s="8" t="s">
        <v>38</v>
      </c>
      <c r="Z11" s="7" t="s">
        <v>55</v>
      </c>
      <c r="AA11" s="8" t="s">
        <v>56</v>
      </c>
      <c r="AB11" s="9">
        <f t="shared" si="0"/>
        <v>0.1908927</v>
      </c>
    </row>
    <row r="12" spans="1:28" x14ac:dyDescent="0.35">
      <c r="A12" s="4">
        <v>5373</v>
      </c>
      <c r="B12" s="5" t="s">
        <v>32</v>
      </c>
      <c r="C12" s="6">
        <v>43600</v>
      </c>
      <c r="D12" s="7">
        <v>172</v>
      </c>
      <c r="E12" s="8" t="s">
        <v>59</v>
      </c>
      <c r="F12" s="7" t="s">
        <v>85</v>
      </c>
      <c r="G12" s="8" t="s">
        <v>86</v>
      </c>
      <c r="H12" s="7" t="str">
        <f>"000008"</f>
        <v>000008</v>
      </c>
      <c r="I12" s="6">
        <v>43510</v>
      </c>
      <c r="J12" s="7" t="str">
        <f>"000025"</f>
        <v>000025</v>
      </c>
      <c r="K12" s="6">
        <v>43533</v>
      </c>
      <c r="L12" s="7" t="str">
        <f>"000294"</f>
        <v>000294</v>
      </c>
      <c r="M12" s="6">
        <v>43535</v>
      </c>
      <c r="N12" s="7">
        <v>18</v>
      </c>
      <c r="O12" s="7" t="str">
        <f>"001585"</f>
        <v>001585</v>
      </c>
      <c r="P12" s="6">
        <v>43600</v>
      </c>
      <c r="Q12" s="9">
        <v>9.9456000000000007</v>
      </c>
      <c r="R12" s="9">
        <v>1.0076000000000001</v>
      </c>
      <c r="S12" s="9">
        <v>8.9380000000000006</v>
      </c>
      <c r="T12" s="7">
        <v>46</v>
      </c>
      <c r="U12" s="6">
        <v>43600</v>
      </c>
      <c r="V12" s="7">
        <v>9986697126</v>
      </c>
      <c r="W12" s="8" t="s">
        <v>52</v>
      </c>
      <c r="X12" s="7" t="s">
        <v>53</v>
      </c>
      <c r="Y12" s="8" t="s">
        <v>54</v>
      </c>
      <c r="Z12" s="7" t="s">
        <v>47</v>
      </c>
      <c r="AA12" s="8" t="s">
        <v>48</v>
      </c>
      <c r="AB12" s="9">
        <f t="shared" si="0"/>
        <v>9.9456000000000003E-2</v>
      </c>
    </row>
    <row r="13" spans="1:28" x14ac:dyDescent="0.35">
      <c r="A13" s="4">
        <v>5374</v>
      </c>
      <c r="B13" s="5" t="s">
        <v>32</v>
      </c>
      <c r="C13" s="6">
        <v>43602</v>
      </c>
      <c r="D13" s="7">
        <v>172</v>
      </c>
      <c r="E13" s="8" t="s">
        <v>59</v>
      </c>
      <c r="F13" s="7" t="s">
        <v>87</v>
      </c>
      <c r="G13" s="8" t="s">
        <v>88</v>
      </c>
      <c r="H13" s="7" t="str">
        <f>"000035"</f>
        <v>000035</v>
      </c>
      <c r="I13" s="6">
        <v>42986</v>
      </c>
      <c r="J13" s="7" t="str">
        <f>"000029"</f>
        <v>000029</v>
      </c>
      <c r="K13" s="6">
        <v>42991</v>
      </c>
      <c r="L13" s="7" t="str">
        <f>"000050"</f>
        <v>000050</v>
      </c>
      <c r="M13" s="6">
        <v>42991</v>
      </c>
      <c r="N13" s="7">
        <v>17</v>
      </c>
      <c r="O13" s="7" t="str">
        <f>"001518"</f>
        <v>001518</v>
      </c>
      <c r="P13" s="6">
        <v>43599</v>
      </c>
      <c r="Q13" s="9">
        <v>29.203060000000001</v>
      </c>
      <c r="R13" s="9">
        <v>1.7823199999999999</v>
      </c>
      <c r="S13" s="9">
        <v>27.420739999999999</v>
      </c>
      <c r="T13" s="7">
        <v>49</v>
      </c>
      <c r="U13" s="6">
        <v>43602</v>
      </c>
      <c r="V13" s="7">
        <v>9902067334</v>
      </c>
      <c r="W13" s="8" t="s">
        <v>58</v>
      </c>
      <c r="X13" s="7" t="s">
        <v>30</v>
      </c>
      <c r="Y13" s="8" t="s">
        <v>31</v>
      </c>
      <c r="Z13" s="7" t="s">
        <v>55</v>
      </c>
      <c r="AA13" s="8" t="s">
        <v>56</v>
      </c>
      <c r="AB13" s="9">
        <f t="shared" si="0"/>
        <v>0.29203060000000003</v>
      </c>
    </row>
    <row r="14" spans="1:28" x14ac:dyDescent="0.35">
      <c r="A14" s="4">
        <v>5375</v>
      </c>
      <c r="B14" s="5" t="s">
        <v>32</v>
      </c>
      <c r="C14" s="6">
        <v>43610</v>
      </c>
      <c r="D14" s="7">
        <v>172</v>
      </c>
      <c r="E14" s="8" t="s">
        <v>59</v>
      </c>
      <c r="F14" s="7" t="s">
        <v>89</v>
      </c>
      <c r="G14" s="8" t="s">
        <v>90</v>
      </c>
      <c r="H14" s="7" t="str">
        <f>"000433"</f>
        <v>000433</v>
      </c>
      <c r="I14" s="6">
        <v>43511</v>
      </c>
      <c r="J14" s="7" t="str">
        <f>"000004"</f>
        <v>000004</v>
      </c>
      <c r="K14" s="6">
        <v>43563</v>
      </c>
      <c r="L14" s="7" t="str">
        <f>"000013"</f>
        <v>000013</v>
      </c>
      <c r="M14" s="6">
        <v>43564</v>
      </c>
      <c r="N14" s="7">
        <v>18</v>
      </c>
      <c r="O14" s="7" t="str">
        <f>"001850"</f>
        <v>001850</v>
      </c>
      <c r="P14" s="6">
        <v>43606</v>
      </c>
      <c r="Q14" s="9">
        <v>15.934240000000001</v>
      </c>
      <c r="R14" s="9">
        <v>0.80549999999999999</v>
      </c>
      <c r="S14" s="9">
        <v>15.128740000000001</v>
      </c>
      <c r="T14" s="7">
        <v>58</v>
      </c>
      <c r="U14" s="6">
        <v>43610</v>
      </c>
      <c r="V14" s="7">
        <v>9448118398</v>
      </c>
      <c r="W14" s="8" t="s">
        <v>91</v>
      </c>
      <c r="X14" s="7" t="s">
        <v>41</v>
      </c>
      <c r="Y14" s="8" t="s">
        <v>42</v>
      </c>
      <c r="Z14" s="7" t="s">
        <v>55</v>
      </c>
      <c r="AA14" s="8" t="s">
        <v>56</v>
      </c>
      <c r="AB14" s="9">
        <f t="shared" si="0"/>
        <v>0.1593424</v>
      </c>
    </row>
    <row r="15" spans="1:28" x14ac:dyDescent="0.35">
      <c r="A15" s="4">
        <v>5376</v>
      </c>
      <c r="B15" s="5" t="s">
        <v>29</v>
      </c>
      <c r="C15" s="6">
        <v>43622</v>
      </c>
      <c r="D15" s="7">
        <v>172</v>
      </c>
      <c r="E15" s="8" t="s">
        <v>59</v>
      </c>
      <c r="F15" s="7" t="s">
        <v>92</v>
      </c>
      <c r="G15" s="8" t="s">
        <v>93</v>
      </c>
      <c r="H15" s="7" t="str">
        <f>"000384"</f>
        <v>000384</v>
      </c>
      <c r="I15" s="6">
        <v>43475</v>
      </c>
      <c r="J15" s="7" t="str">
        <f>"000117"</f>
        <v>000117</v>
      </c>
      <c r="K15" s="6">
        <v>43524</v>
      </c>
      <c r="L15" s="7" t="str">
        <f>"000238"</f>
        <v>000238</v>
      </c>
      <c r="M15" s="6">
        <v>43524</v>
      </c>
      <c r="N15" s="7">
        <v>19</v>
      </c>
      <c r="O15" s="7" t="str">
        <f>"002289"</f>
        <v>002289</v>
      </c>
      <c r="P15" s="6">
        <v>43615</v>
      </c>
      <c r="Q15" s="9">
        <v>19.81251</v>
      </c>
      <c r="R15" s="9">
        <v>2.1654300000000002</v>
      </c>
      <c r="S15" s="9">
        <v>17.647079999999999</v>
      </c>
      <c r="T15" s="7">
        <v>70</v>
      </c>
      <c r="U15" s="6">
        <v>43622</v>
      </c>
      <c r="V15" s="7">
        <v>9845029159</v>
      </c>
      <c r="W15" s="8" t="s">
        <v>49</v>
      </c>
      <c r="X15" s="7" t="s">
        <v>45</v>
      </c>
      <c r="Y15" s="8" t="s">
        <v>46</v>
      </c>
      <c r="Z15" s="7" t="s">
        <v>55</v>
      </c>
      <c r="AA15" s="8" t="s">
        <v>56</v>
      </c>
      <c r="AB15" s="9">
        <v>0.1981251</v>
      </c>
    </row>
    <row r="16" spans="1:28" x14ac:dyDescent="0.35">
      <c r="A16" s="4">
        <v>5377</v>
      </c>
      <c r="B16" s="5" t="s">
        <v>29</v>
      </c>
      <c r="C16" s="6">
        <v>43622</v>
      </c>
      <c r="D16" s="7">
        <v>172</v>
      </c>
      <c r="E16" s="8" t="s">
        <v>59</v>
      </c>
      <c r="F16" s="7" t="s">
        <v>94</v>
      </c>
      <c r="G16" s="8" t="s">
        <v>95</v>
      </c>
      <c r="H16" s="7" t="str">
        <f>"000386"</f>
        <v>000386</v>
      </c>
      <c r="I16" s="6">
        <v>43475</v>
      </c>
      <c r="J16" s="7" t="str">
        <f>"000118"</f>
        <v>000118</v>
      </c>
      <c r="K16" s="6">
        <v>43525</v>
      </c>
      <c r="L16" s="7" t="str">
        <f>"000244"</f>
        <v>000244</v>
      </c>
      <c r="M16" s="6">
        <v>43526</v>
      </c>
      <c r="N16" s="7">
        <v>19</v>
      </c>
      <c r="O16" s="7" t="str">
        <f>"002290"</f>
        <v>002290</v>
      </c>
      <c r="P16" s="6">
        <v>43615</v>
      </c>
      <c r="Q16" s="9">
        <v>14.859159999999999</v>
      </c>
      <c r="R16" s="9">
        <v>1.62656</v>
      </c>
      <c r="S16" s="9">
        <v>13.2326</v>
      </c>
      <c r="T16" s="7">
        <v>70</v>
      </c>
      <c r="U16" s="6">
        <v>43622</v>
      </c>
      <c r="V16" s="7">
        <v>9845029159</v>
      </c>
      <c r="W16" s="8" t="s">
        <v>49</v>
      </c>
      <c r="X16" s="7" t="s">
        <v>45</v>
      </c>
      <c r="Y16" s="8" t="s">
        <v>46</v>
      </c>
      <c r="Z16" s="7" t="s">
        <v>55</v>
      </c>
      <c r="AA16" s="8" t="s">
        <v>56</v>
      </c>
      <c r="AB16" s="9">
        <v>0.14859159999999999</v>
      </c>
    </row>
    <row r="17" spans="1:28" x14ac:dyDescent="0.35">
      <c r="A17" s="4">
        <v>5378</v>
      </c>
      <c r="B17" s="5" t="s">
        <v>29</v>
      </c>
      <c r="C17" s="6">
        <v>43622</v>
      </c>
      <c r="D17" s="7">
        <v>172</v>
      </c>
      <c r="E17" s="8" t="s">
        <v>59</v>
      </c>
      <c r="F17" s="7" t="s">
        <v>96</v>
      </c>
      <c r="G17" s="8" t="s">
        <v>97</v>
      </c>
      <c r="H17" s="7" t="str">
        <f>"000383"</f>
        <v>000383</v>
      </c>
      <c r="I17" s="6">
        <v>43475</v>
      </c>
      <c r="J17" s="7" t="str">
        <f>"000116"</f>
        <v>000116</v>
      </c>
      <c r="K17" s="6">
        <v>43524</v>
      </c>
      <c r="L17" s="7" t="str">
        <f>"000239"</f>
        <v>000239</v>
      </c>
      <c r="M17" s="6">
        <v>43524</v>
      </c>
      <c r="N17" s="7">
        <v>19</v>
      </c>
      <c r="O17" s="7" t="str">
        <f>"002291"</f>
        <v>002291</v>
      </c>
      <c r="P17" s="6">
        <v>43615</v>
      </c>
      <c r="Q17" s="9">
        <v>19.821380000000001</v>
      </c>
      <c r="R17" s="9">
        <v>2.1663800000000002</v>
      </c>
      <c r="S17" s="9">
        <v>17.655000000000001</v>
      </c>
      <c r="T17" s="7">
        <v>70</v>
      </c>
      <c r="U17" s="6">
        <v>43622</v>
      </c>
      <c r="V17" s="7">
        <v>9845029159</v>
      </c>
      <c r="W17" s="8" t="s">
        <v>49</v>
      </c>
      <c r="X17" s="7" t="s">
        <v>45</v>
      </c>
      <c r="Y17" s="8" t="s">
        <v>46</v>
      </c>
      <c r="Z17" s="7" t="s">
        <v>55</v>
      </c>
      <c r="AA17" s="8" t="s">
        <v>56</v>
      </c>
      <c r="AB17" s="9">
        <v>0.19821380000000002</v>
      </c>
    </row>
    <row r="18" spans="1:28" x14ac:dyDescent="0.35">
      <c r="A18" s="4">
        <v>5379</v>
      </c>
      <c r="B18" s="5" t="s">
        <v>29</v>
      </c>
      <c r="C18" s="6">
        <v>43622</v>
      </c>
      <c r="D18" s="7">
        <v>172</v>
      </c>
      <c r="E18" s="8" t="s">
        <v>59</v>
      </c>
      <c r="F18" s="7" t="s">
        <v>98</v>
      </c>
      <c r="G18" s="8" t="s">
        <v>99</v>
      </c>
      <c r="H18" s="7" t="str">
        <f>"000385"</f>
        <v>000385</v>
      </c>
      <c r="I18" s="6">
        <v>43475</v>
      </c>
      <c r="J18" s="7" t="str">
        <f>"000114"</f>
        <v>000114</v>
      </c>
      <c r="K18" s="6">
        <v>43521</v>
      </c>
      <c r="L18" s="7" t="str">
        <f>"000245"</f>
        <v>000245</v>
      </c>
      <c r="M18" s="6">
        <v>43526</v>
      </c>
      <c r="N18" s="7">
        <v>19</v>
      </c>
      <c r="O18" s="7" t="str">
        <f>"002292"</f>
        <v>002292</v>
      </c>
      <c r="P18" s="6">
        <v>43615</v>
      </c>
      <c r="Q18" s="9">
        <v>19.809850000000001</v>
      </c>
      <c r="R18" s="9">
        <v>2.2151399999999999</v>
      </c>
      <c r="S18" s="9">
        <v>17.594709999999999</v>
      </c>
      <c r="T18" s="7">
        <v>70</v>
      </c>
      <c r="U18" s="6">
        <v>43622</v>
      </c>
      <c r="V18" s="7">
        <v>9845029159</v>
      </c>
      <c r="W18" s="8" t="s">
        <v>49</v>
      </c>
      <c r="X18" s="7" t="s">
        <v>45</v>
      </c>
      <c r="Y18" s="8" t="s">
        <v>46</v>
      </c>
      <c r="Z18" s="7" t="s">
        <v>55</v>
      </c>
      <c r="AA18" s="8" t="s">
        <v>56</v>
      </c>
      <c r="AB18" s="9">
        <v>0.19809850000000001</v>
      </c>
    </row>
    <row r="19" spans="1:28" x14ac:dyDescent="0.35">
      <c r="A19" s="4">
        <v>5380</v>
      </c>
      <c r="B19" s="5" t="s">
        <v>29</v>
      </c>
      <c r="C19" s="6">
        <v>43623</v>
      </c>
      <c r="D19" s="7">
        <v>172</v>
      </c>
      <c r="E19" s="8" t="s">
        <v>59</v>
      </c>
      <c r="F19" s="7" t="s">
        <v>72</v>
      </c>
      <c r="G19" s="8" t="s">
        <v>73</v>
      </c>
      <c r="H19" s="7" t="str">
        <f>"000038"</f>
        <v>000038</v>
      </c>
      <c r="I19" s="6">
        <v>42931</v>
      </c>
      <c r="J19" s="7" t="str">
        <f>"000038"</f>
        <v>000038</v>
      </c>
      <c r="K19" s="6">
        <v>43599</v>
      </c>
      <c r="L19" s="7" t="str">
        <f>"000041"</f>
        <v>000041</v>
      </c>
      <c r="M19" s="6">
        <v>43599</v>
      </c>
      <c r="N19" s="7">
        <v>16</v>
      </c>
      <c r="O19" s="7" t="str">
        <f>"002357"</f>
        <v>002357</v>
      </c>
      <c r="P19" s="6">
        <v>43619</v>
      </c>
      <c r="Q19" s="9">
        <v>2.9146000000000001</v>
      </c>
      <c r="R19" s="9">
        <v>0.24268000000000001</v>
      </c>
      <c r="S19" s="9">
        <v>2.6719200000000001</v>
      </c>
      <c r="T19" s="7">
        <v>73</v>
      </c>
      <c r="U19" s="6">
        <v>43623</v>
      </c>
      <c r="V19" s="7">
        <v>0</v>
      </c>
      <c r="W19" s="8" t="s">
        <v>74</v>
      </c>
      <c r="X19" s="7" t="s">
        <v>34</v>
      </c>
      <c r="Y19" s="8" t="s">
        <v>33</v>
      </c>
      <c r="Z19" s="7" t="s">
        <v>50</v>
      </c>
      <c r="AA19" s="8" t="s">
        <v>51</v>
      </c>
      <c r="AB19" s="9">
        <v>2.9146000000000002E-2</v>
      </c>
    </row>
    <row r="20" spans="1:28" x14ac:dyDescent="0.35">
      <c r="A20" s="4">
        <v>5381</v>
      </c>
      <c r="B20" s="5" t="s">
        <v>29</v>
      </c>
      <c r="C20" s="6">
        <v>43634</v>
      </c>
      <c r="D20" s="7">
        <v>172</v>
      </c>
      <c r="E20" s="8" t="s">
        <v>59</v>
      </c>
      <c r="F20" s="7" t="s">
        <v>100</v>
      </c>
      <c r="G20" s="8" t="s">
        <v>101</v>
      </c>
      <c r="H20" s="7" t="str">
        <f>"000111"</f>
        <v>000111</v>
      </c>
      <c r="I20" s="6">
        <v>43098</v>
      </c>
      <c r="J20" s="7" t="str">
        <f>"000053"</f>
        <v>000053</v>
      </c>
      <c r="K20" s="6">
        <v>43098</v>
      </c>
      <c r="L20" s="7" t="str">
        <f>"000108"</f>
        <v>000108</v>
      </c>
      <c r="M20" s="6">
        <v>43099</v>
      </c>
      <c r="N20" s="7">
        <v>16</v>
      </c>
      <c r="O20" s="7" t="str">
        <f>"002678"</f>
        <v>002678</v>
      </c>
      <c r="P20" s="6">
        <v>43628</v>
      </c>
      <c r="Q20" s="9">
        <v>34.658360000000002</v>
      </c>
      <c r="R20" s="9">
        <v>2.5407199999999999</v>
      </c>
      <c r="S20" s="9">
        <v>32.117640000000002</v>
      </c>
      <c r="T20" s="7">
        <v>88</v>
      </c>
      <c r="U20" s="6">
        <v>43634</v>
      </c>
      <c r="V20" s="7">
        <v>9886001949</v>
      </c>
      <c r="W20" s="8" t="s">
        <v>102</v>
      </c>
      <c r="X20" s="7" t="s">
        <v>30</v>
      </c>
      <c r="Y20" s="8" t="s">
        <v>31</v>
      </c>
      <c r="Z20" s="7" t="s">
        <v>55</v>
      </c>
      <c r="AA20" s="8" t="s">
        <v>56</v>
      </c>
      <c r="AB20" s="9">
        <v>0.34658359999999999</v>
      </c>
    </row>
    <row r="21" spans="1:28" x14ac:dyDescent="0.35">
      <c r="A21" s="4">
        <v>5382</v>
      </c>
      <c r="B21" s="5" t="s">
        <v>29</v>
      </c>
      <c r="C21" s="6">
        <v>43644</v>
      </c>
      <c r="D21" s="7">
        <v>172</v>
      </c>
      <c r="E21" s="8" t="s">
        <v>59</v>
      </c>
      <c r="F21" s="7" t="s">
        <v>103</v>
      </c>
      <c r="G21" s="8" t="s">
        <v>104</v>
      </c>
      <c r="H21" s="7" t="str">
        <f>"000015"</f>
        <v>000015</v>
      </c>
      <c r="I21" s="6">
        <v>43606</v>
      </c>
      <c r="J21" s="7" t="str">
        <f>"000022"</f>
        <v>000022</v>
      </c>
      <c r="K21" s="6">
        <v>43607</v>
      </c>
      <c r="L21" s="7" t="str">
        <f>"000035"</f>
        <v>000035</v>
      </c>
      <c r="M21" s="6">
        <v>43607</v>
      </c>
      <c r="N21" s="7">
        <v>18</v>
      </c>
      <c r="O21" s="7" t="str">
        <f>"002869"</f>
        <v>002869</v>
      </c>
      <c r="P21" s="6">
        <v>43636</v>
      </c>
      <c r="Q21" s="9">
        <v>9.9987100000000009</v>
      </c>
      <c r="R21" s="9">
        <v>1.07843</v>
      </c>
      <c r="S21" s="9">
        <v>8.92028</v>
      </c>
      <c r="T21" s="7">
        <v>95</v>
      </c>
      <c r="U21" s="6">
        <v>43644</v>
      </c>
      <c r="V21" s="7">
        <v>9886009149</v>
      </c>
      <c r="W21" s="8" t="s">
        <v>49</v>
      </c>
      <c r="X21" s="7" t="s">
        <v>37</v>
      </c>
      <c r="Y21" s="8" t="s">
        <v>38</v>
      </c>
      <c r="Z21" s="7" t="s">
        <v>55</v>
      </c>
      <c r="AA21" s="8" t="s">
        <v>56</v>
      </c>
      <c r="AB21" s="9">
        <v>9.9987100000000009E-2</v>
      </c>
    </row>
    <row r="22" spans="1:28" x14ac:dyDescent="0.35">
      <c r="A22" s="4">
        <v>5383</v>
      </c>
      <c r="B22" s="5" t="s">
        <v>105</v>
      </c>
      <c r="C22" s="6">
        <v>43647</v>
      </c>
      <c r="D22" s="7">
        <v>172</v>
      </c>
      <c r="E22" s="8" t="s">
        <v>59</v>
      </c>
      <c r="F22" s="7" t="s">
        <v>106</v>
      </c>
      <c r="G22" s="10" t="s">
        <v>107</v>
      </c>
      <c r="H22" s="7" t="str">
        <f>"000123"</f>
        <v>000123</v>
      </c>
      <c r="I22" s="6">
        <v>43110</v>
      </c>
      <c r="J22" s="7" t="str">
        <f>"000064"</f>
        <v>000064</v>
      </c>
      <c r="K22" s="6">
        <v>43110</v>
      </c>
      <c r="L22" s="7" t="str">
        <f>"000129"</f>
        <v>000129</v>
      </c>
      <c r="M22" s="6">
        <v>43110</v>
      </c>
      <c r="N22" s="7">
        <v>17</v>
      </c>
      <c r="O22" s="7" t="str">
        <f>"003067"</f>
        <v>003067</v>
      </c>
      <c r="P22" s="6">
        <v>43640</v>
      </c>
      <c r="Q22" s="11">
        <v>30.90137</v>
      </c>
      <c r="R22" s="11">
        <v>3.11205</v>
      </c>
      <c r="S22" s="11">
        <v>27.78932</v>
      </c>
      <c r="T22" s="7">
        <v>96</v>
      </c>
      <c r="U22" s="6">
        <v>43647</v>
      </c>
      <c r="V22" s="7">
        <v>9449212450</v>
      </c>
      <c r="W22" s="10" t="s">
        <v>108</v>
      </c>
      <c r="X22" s="7" t="s">
        <v>30</v>
      </c>
      <c r="Y22" s="10" t="s">
        <v>31</v>
      </c>
      <c r="Z22" s="7" t="s">
        <v>55</v>
      </c>
      <c r="AA22" s="10" t="s">
        <v>56</v>
      </c>
      <c r="AB22" s="11">
        <f t="shared" ref="AB22:AB31" si="1">Q22/100</f>
        <v>0.3090137</v>
      </c>
    </row>
    <row r="23" spans="1:28" x14ac:dyDescent="0.35">
      <c r="A23" s="4">
        <v>5384</v>
      </c>
      <c r="B23" s="5" t="s">
        <v>105</v>
      </c>
      <c r="C23" s="6">
        <v>43656</v>
      </c>
      <c r="D23" s="7">
        <v>172</v>
      </c>
      <c r="E23" s="8" t="s">
        <v>59</v>
      </c>
      <c r="F23" s="7" t="s">
        <v>109</v>
      </c>
      <c r="G23" s="10" t="s">
        <v>110</v>
      </c>
      <c r="H23" s="7" t="str">
        <f>"000053"</f>
        <v>000053</v>
      </c>
      <c r="I23" s="6">
        <v>42852</v>
      </c>
      <c r="J23" s="7" t="str">
        <f>"000099"</f>
        <v>000099</v>
      </c>
      <c r="K23" s="6">
        <v>43494</v>
      </c>
      <c r="L23" s="7" t="str">
        <f>"000061"</f>
        <v>000061</v>
      </c>
      <c r="M23" s="6">
        <v>43641</v>
      </c>
      <c r="N23" s="7">
        <v>17</v>
      </c>
      <c r="O23" s="7" t="str">
        <f>"003349"</f>
        <v>003349</v>
      </c>
      <c r="P23" s="6">
        <v>43651</v>
      </c>
      <c r="Q23" s="11">
        <v>34.19012</v>
      </c>
      <c r="R23" s="11">
        <v>4.0473299999999997</v>
      </c>
      <c r="S23" s="11">
        <v>30.142790000000002</v>
      </c>
      <c r="T23" s="7">
        <v>110</v>
      </c>
      <c r="U23" s="6">
        <v>43656</v>
      </c>
      <c r="V23" s="7">
        <v>9739005888</v>
      </c>
      <c r="W23" s="10" t="s">
        <v>49</v>
      </c>
      <c r="X23" s="7" t="s">
        <v>37</v>
      </c>
      <c r="Y23" s="10" t="s">
        <v>38</v>
      </c>
      <c r="Z23" s="7" t="s">
        <v>55</v>
      </c>
      <c r="AA23" s="10" t="s">
        <v>56</v>
      </c>
      <c r="AB23" s="11">
        <f t="shared" si="1"/>
        <v>0.34190120000000002</v>
      </c>
    </row>
    <row r="24" spans="1:28" x14ac:dyDescent="0.35">
      <c r="A24" s="4">
        <v>5385</v>
      </c>
      <c r="B24" s="5" t="s">
        <v>105</v>
      </c>
      <c r="C24" s="6">
        <v>43669</v>
      </c>
      <c r="D24" s="7">
        <v>172</v>
      </c>
      <c r="E24" s="8" t="s">
        <v>59</v>
      </c>
      <c r="F24" s="7" t="s">
        <v>111</v>
      </c>
      <c r="G24" s="10" t="s">
        <v>112</v>
      </c>
      <c r="H24" s="7" t="str">
        <f>"000132"</f>
        <v>000132</v>
      </c>
      <c r="I24" s="6">
        <v>43132</v>
      </c>
      <c r="J24" s="7" t="str">
        <f>"000069"</f>
        <v>000069</v>
      </c>
      <c r="K24" s="6">
        <v>43133</v>
      </c>
      <c r="L24" s="7" t="str">
        <f>"000134"</f>
        <v>000134</v>
      </c>
      <c r="M24" s="6">
        <v>43133</v>
      </c>
      <c r="N24" s="7">
        <v>15</v>
      </c>
      <c r="O24" s="7" t="str">
        <f>"003461"</f>
        <v>003461</v>
      </c>
      <c r="P24" s="6">
        <v>43662</v>
      </c>
      <c r="Q24" s="11">
        <v>9.3964700000000008</v>
      </c>
      <c r="R24" s="11">
        <v>0.94504999999999995</v>
      </c>
      <c r="S24" s="11">
        <v>8.4514200000000006</v>
      </c>
      <c r="T24" s="7">
        <v>122</v>
      </c>
      <c r="U24" s="6">
        <v>43669</v>
      </c>
      <c r="V24" s="7">
        <v>9901100660</v>
      </c>
      <c r="W24" s="10" t="s">
        <v>113</v>
      </c>
      <c r="X24" s="7" t="s">
        <v>114</v>
      </c>
      <c r="Y24" s="10" t="s">
        <v>115</v>
      </c>
      <c r="Z24" s="7" t="s">
        <v>55</v>
      </c>
      <c r="AA24" s="10" t="s">
        <v>56</v>
      </c>
      <c r="AB24" s="11">
        <f t="shared" si="1"/>
        <v>9.3964700000000012E-2</v>
      </c>
    </row>
    <row r="25" spans="1:28" x14ac:dyDescent="0.35">
      <c r="A25" s="4">
        <v>5386</v>
      </c>
      <c r="B25" s="5" t="s">
        <v>116</v>
      </c>
      <c r="C25" s="6">
        <v>43685</v>
      </c>
      <c r="D25" s="7">
        <v>172</v>
      </c>
      <c r="E25" s="8" t="s">
        <v>59</v>
      </c>
      <c r="F25" s="7" t="s">
        <v>72</v>
      </c>
      <c r="G25" s="10" t="s">
        <v>73</v>
      </c>
      <c r="H25" s="7" t="str">
        <f>"000038"</f>
        <v>000038</v>
      </c>
      <c r="I25" s="6">
        <v>42931</v>
      </c>
      <c r="J25" s="7" t="str">
        <f>"000205"</f>
        <v>000205</v>
      </c>
      <c r="K25" s="6">
        <v>43777</v>
      </c>
      <c r="L25" s="7" t="str">
        <f>"000205"</f>
        <v>000205</v>
      </c>
      <c r="M25" s="6">
        <v>43777</v>
      </c>
      <c r="N25" s="7">
        <v>16</v>
      </c>
      <c r="O25" s="7" t="str">
        <f>"006345"</f>
        <v>006345</v>
      </c>
      <c r="P25" s="6">
        <v>43791</v>
      </c>
      <c r="Q25" s="11">
        <v>2.86022</v>
      </c>
      <c r="R25" s="11">
        <v>0.23891999999999999</v>
      </c>
      <c r="S25" s="11">
        <v>2.6213000000000002</v>
      </c>
      <c r="T25" s="7">
        <v>149</v>
      </c>
      <c r="U25" s="6">
        <v>43685</v>
      </c>
      <c r="V25" s="7">
        <v>0</v>
      </c>
      <c r="W25" s="10" t="s">
        <v>74</v>
      </c>
      <c r="X25" s="7" t="s">
        <v>34</v>
      </c>
      <c r="Y25" s="10" t="s">
        <v>33</v>
      </c>
      <c r="Z25" s="7" t="s">
        <v>50</v>
      </c>
      <c r="AA25" s="10" t="s">
        <v>51</v>
      </c>
      <c r="AB25" s="11">
        <f t="shared" si="1"/>
        <v>2.8602200000000001E-2</v>
      </c>
    </row>
    <row r="26" spans="1:28" x14ac:dyDescent="0.35">
      <c r="A26" s="4">
        <v>5387</v>
      </c>
      <c r="B26" s="5" t="s">
        <v>116</v>
      </c>
      <c r="C26" s="6">
        <v>43696</v>
      </c>
      <c r="D26" s="7">
        <v>172</v>
      </c>
      <c r="E26" s="8" t="s">
        <v>59</v>
      </c>
      <c r="F26" s="7" t="s">
        <v>117</v>
      </c>
      <c r="G26" s="10" t="s">
        <v>118</v>
      </c>
      <c r="H26" s="7" t="str">
        <f>"000172"</f>
        <v>000172</v>
      </c>
      <c r="I26" s="6">
        <v>43158</v>
      </c>
      <c r="J26" s="7" t="str">
        <f>"000079"</f>
        <v>000079</v>
      </c>
      <c r="K26" s="6">
        <v>43158</v>
      </c>
      <c r="L26" s="7" t="str">
        <f>"000168"</f>
        <v>000168</v>
      </c>
      <c r="M26" s="6">
        <v>43169</v>
      </c>
      <c r="N26" s="7">
        <v>15</v>
      </c>
      <c r="O26" s="7" t="str">
        <f>"004341"</f>
        <v>004341</v>
      </c>
      <c r="P26" s="6">
        <v>43683</v>
      </c>
      <c r="Q26" s="11">
        <v>15.02408</v>
      </c>
      <c r="R26" s="11">
        <v>1.56718</v>
      </c>
      <c r="S26" s="11">
        <v>13.456899999999999</v>
      </c>
      <c r="T26" s="7">
        <v>158</v>
      </c>
      <c r="U26" s="6">
        <v>43696</v>
      </c>
      <c r="V26" s="7">
        <v>9448440214</v>
      </c>
      <c r="W26" s="10" t="s">
        <v>119</v>
      </c>
      <c r="X26" s="7" t="s">
        <v>43</v>
      </c>
      <c r="Y26" s="10" t="s">
        <v>44</v>
      </c>
      <c r="Z26" s="7" t="s">
        <v>55</v>
      </c>
      <c r="AA26" s="10" t="s">
        <v>56</v>
      </c>
      <c r="AB26" s="11">
        <f t="shared" si="1"/>
        <v>0.15024080000000001</v>
      </c>
    </row>
    <row r="27" spans="1:28" x14ac:dyDescent="0.35">
      <c r="A27" s="4">
        <v>5388</v>
      </c>
      <c r="B27" s="5" t="s">
        <v>116</v>
      </c>
      <c r="C27" s="6">
        <v>43696</v>
      </c>
      <c r="D27" s="7">
        <v>172</v>
      </c>
      <c r="E27" s="8" t="s">
        <v>59</v>
      </c>
      <c r="F27" s="7" t="s">
        <v>120</v>
      </c>
      <c r="G27" s="10" t="s">
        <v>121</v>
      </c>
      <c r="H27" s="7" t="str">
        <f>"000171"</f>
        <v>000171</v>
      </c>
      <c r="I27" s="6">
        <v>43158</v>
      </c>
      <c r="J27" s="7" t="str">
        <f>"000080"</f>
        <v>000080</v>
      </c>
      <c r="K27" s="6">
        <v>43158</v>
      </c>
      <c r="L27" s="7" t="str">
        <f>"000169"</f>
        <v>000169</v>
      </c>
      <c r="M27" s="6">
        <v>43169</v>
      </c>
      <c r="N27" s="7">
        <v>15</v>
      </c>
      <c r="O27" s="7" t="str">
        <f>"004342"</f>
        <v>004342</v>
      </c>
      <c r="P27" s="6">
        <v>43683</v>
      </c>
      <c r="Q27" s="11">
        <v>3.5617399999999999</v>
      </c>
      <c r="R27" s="11">
        <v>0.36408000000000001</v>
      </c>
      <c r="S27" s="11">
        <v>3.1976599999999999</v>
      </c>
      <c r="T27" s="7">
        <v>158</v>
      </c>
      <c r="U27" s="6">
        <v>43696</v>
      </c>
      <c r="V27" s="7">
        <v>9448440214</v>
      </c>
      <c r="W27" s="10" t="s">
        <v>119</v>
      </c>
      <c r="X27" s="7" t="s">
        <v>43</v>
      </c>
      <c r="Y27" s="10" t="s">
        <v>44</v>
      </c>
      <c r="Z27" s="7" t="s">
        <v>55</v>
      </c>
      <c r="AA27" s="10" t="s">
        <v>56</v>
      </c>
      <c r="AB27" s="11">
        <f t="shared" si="1"/>
        <v>3.56174E-2</v>
      </c>
    </row>
    <row r="28" spans="1:28" x14ac:dyDescent="0.35">
      <c r="A28" s="4">
        <v>5389</v>
      </c>
      <c r="B28" s="5" t="s">
        <v>116</v>
      </c>
      <c r="C28" s="6">
        <v>43703</v>
      </c>
      <c r="D28" s="7">
        <v>172</v>
      </c>
      <c r="E28" s="8" t="s">
        <v>59</v>
      </c>
      <c r="F28" s="7" t="s">
        <v>122</v>
      </c>
      <c r="G28" s="10" t="s">
        <v>123</v>
      </c>
      <c r="H28" s="7" t="str">
        <f>"000415"</f>
        <v>000415</v>
      </c>
      <c r="I28" s="6">
        <v>43483</v>
      </c>
      <c r="J28" s="7" t="str">
        <f>"000001"</f>
        <v>000001</v>
      </c>
      <c r="K28" s="6">
        <v>43558</v>
      </c>
      <c r="L28" s="7" t="str">
        <f>"000007"</f>
        <v>000007</v>
      </c>
      <c r="M28" s="6">
        <v>43560</v>
      </c>
      <c r="N28" s="7">
        <v>18</v>
      </c>
      <c r="O28" s="7" t="str">
        <f>"004585"</f>
        <v>004585</v>
      </c>
      <c r="P28" s="6">
        <v>43694</v>
      </c>
      <c r="Q28" s="11">
        <v>18.068819999999999</v>
      </c>
      <c r="R28" s="11">
        <v>1.6274900000000001</v>
      </c>
      <c r="S28" s="11">
        <v>16.441330000000001</v>
      </c>
      <c r="T28" s="7">
        <v>163</v>
      </c>
      <c r="U28" s="6">
        <v>43703</v>
      </c>
      <c r="V28" s="7">
        <v>9845135453</v>
      </c>
      <c r="W28" s="10" t="s">
        <v>57</v>
      </c>
      <c r="X28" s="7" t="s">
        <v>124</v>
      </c>
      <c r="Y28" s="10" t="s">
        <v>125</v>
      </c>
      <c r="Z28" s="7" t="s">
        <v>55</v>
      </c>
      <c r="AA28" s="10" t="s">
        <v>56</v>
      </c>
      <c r="AB28" s="11">
        <f t="shared" si="1"/>
        <v>0.18068819999999999</v>
      </c>
    </row>
    <row r="29" spans="1:28" x14ac:dyDescent="0.35">
      <c r="A29" s="4">
        <v>5390</v>
      </c>
      <c r="B29" s="5" t="s">
        <v>116</v>
      </c>
      <c r="C29" s="6">
        <v>43705</v>
      </c>
      <c r="D29" s="7">
        <v>172</v>
      </c>
      <c r="E29" s="8" t="s">
        <v>59</v>
      </c>
      <c r="F29" s="7" t="s">
        <v>126</v>
      </c>
      <c r="G29" s="10" t="s">
        <v>127</v>
      </c>
      <c r="H29" s="7" t="str">
        <f>"000005"</f>
        <v>000005</v>
      </c>
      <c r="I29" s="6">
        <v>43601</v>
      </c>
      <c r="J29" s="7" t="str">
        <f>"000045"</f>
        <v>000045</v>
      </c>
      <c r="K29" s="6">
        <v>43684</v>
      </c>
      <c r="L29" s="7" t="str">
        <f>"000046"</f>
        <v>000046</v>
      </c>
      <c r="M29" s="6">
        <v>43684</v>
      </c>
      <c r="N29" s="7">
        <v>18</v>
      </c>
      <c r="O29" s="7" t="str">
        <f>"004728"</f>
        <v>004728</v>
      </c>
      <c r="P29" s="6">
        <v>43699</v>
      </c>
      <c r="Q29" s="11">
        <v>14.986890000000001</v>
      </c>
      <c r="R29" s="11">
        <v>1.6315999999999999</v>
      </c>
      <c r="S29" s="11">
        <v>13.35529</v>
      </c>
      <c r="T29" s="7">
        <v>168</v>
      </c>
      <c r="U29" s="6">
        <v>43705</v>
      </c>
      <c r="V29" s="7">
        <v>9845019853</v>
      </c>
      <c r="W29" s="10" t="s">
        <v>128</v>
      </c>
      <c r="X29" s="7" t="s">
        <v>37</v>
      </c>
      <c r="Y29" s="10" t="s">
        <v>38</v>
      </c>
      <c r="Z29" s="7" t="s">
        <v>129</v>
      </c>
      <c r="AA29" s="10" t="s">
        <v>130</v>
      </c>
      <c r="AB29" s="11">
        <f t="shared" si="1"/>
        <v>0.1498689</v>
      </c>
    </row>
    <row r="30" spans="1:28" x14ac:dyDescent="0.35">
      <c r="A30" s="4">
        <v>5391</v>
      </c>
      <c r="B30" s="5" t="s">
        <v>131</v>
      </c>
      <c r="C30" s="6">
        <v>43725</v>
      </c>
      <c r="D30" s="7">
        <v>172</v>
      </c>
      <c r="E30" s="8" t="s">
        <v>59</v>
      </c>
      <c r="F30" s="7" t="s">
        <v>132</v>
      </c>
      <c r="G30" s="10" t="s">
        <v>133</v>
      </c>
      <c r="H30" s="7" t="str">
        <f>"000001"</f>
        <v>000001</v>
      </c>
      <c r="I30" s="6">
        <v>43192</v>
      </c>
      <c r="J30" s="7" t="str">
        <f>"000002"</f>
        <v>000002</v>
      </c>
      <c r="K30" s="6">
        <v>43192</v>
      </c>
      <c r="L30" s="7" t="str">
        <f>"000003"</f>
        <v>000003</v>
      </c>
      <c r="M30" s="6">
        <v>43196</v>
      </c>
      <c r="N30" s="7">
        <v>17</v>
      </c>
      <c r="O30" s="7" t="str">
        <f>"004919"</f>
        <v>004919</v>
      </c>
      <c r="P30" s="6">
        <v>43711</v>
      </c>
      <c r="Q30" s="11">
        <v>39.935809999999996</v>
      </c>
      <c r="R30" s="11">
        <v>3.3433799999999998</v>
      </c>
      <c r="S30" s="11">
        <v>36.59243</v>
      </c>
      <c r="T30" s="7">
        <v>190</v>
      </c>
      <c r="U30" s="6">
        <v>43725</v>
      </c>
      <c r="V30" s="7">
        <v>9845029159</v>
      </c>
      <c r="W30" s="10" t="s">
        <v>49</v>
      </c>
      <c r="X30" s="7" t="s">
        <v>62</v>
      </c>
      <c r="Y30" s="10" t="s">
        <v>63</v>
      </c>
      <c r="Z30" s="7" t="s">
        <v>55</v>
      </c>
      <c r="AA30" s="10" t="s">
        <v>56</v>
      </c>
      <c r="AB30" s="11">
        <f t="shared" si="1"/>
        <v>0.39935809999999994</v>
      </c>
    </row>
    <row r="31" spans="1:28" x14ac:dyDescent="0.35">
      <c r="A31" s="4">
        <v>5392</v>
      </c>
      <c r="B31" s="5" t="s">
        <v>131</v>
      </c>
      <c r="C31" s="6">
        <v>43732</v>
      </c>
      <c r="D31" s="7">
        <v>172</v>
      </c>
      <c r="E31" s="8" t="s">
        <v>59</v>
      </c>
      <c r="F31" s="7" t="s">
        <v>134</v>
      </c>
      <c r="G31" s="10" t="s">
        <v>135</v>
      </c>
      <c r="H31" s="7" t="str">
        <f>"000138"</f>
        <v>000138</v>
      </c>
      <c r="I31" s="6">
        <v>43209</v>
      </c>
      <c r="J31" s="7" t="str">
        <f>"000008"</f>
        <v>000008</v>
      </c>
      <c r="K31" s="6">
        <v>43210</v>
      </c>
      <c r="L31" s="7" t="str">
        <f>"000023"</f>
        <v>000023</v>
      </c>
      <c r="M31" s="6">
        <v>43211</v>
      </c>
      <c r="N31" s="7">
        <v>15</v>
      </c>
      <c r="O31" s="7" t="str">
        <f>"005349"</f>
        <v>005349</v>
      </c>
      <c r="P31" s="6">
        <v>43729</v>
      </c>
      <c r="Q31" s="11">
        <v>29.462350000000001</v>
      </c>
      <c r="R31" s="11">
        <v>2.93106</v>
      </c>
      <c r="S31" s="11">
        <v>26.531289999999998</v>
      </c>
      <c r="T31" s="7">
        <v>199</v>
      </c>
      <c r="U31" s="6">
        <v>43732</v>
      </c>
      <c r="V31" s="7">
        <v>9742000003</v>
      </c>
      <c r="W31" s="10" t="s">
        <v>136</v>
      </c>
      <c r="X31" s="7" t="s">
        <v>114</v>
      </c>
      <c r="Y31" s="10" t="s">
        <v>115</v>
      </c>
      <c r="Z31" s="7" t="s">
        <v>55</v>
      </c>
      <c r="AA31" s="10" t="s">
        <v>56</v>
      </c>
      <c r="AB31" s="11">
        <f t="shared" si="1"/>
        <v>0.29462349999999998</v>
      </c>
    </row>
    <row r="32" spans="1:28" x14ac:dyDescent="0.35">
      <c r="A32" s="4">
        <v>5393</v>
      </c>
      <c r="B32" s="5" t="s">
        <v>137</v>
      </c>
      <c r="C32" s="6">
        <v>43795</v>
      </c>
      <c r="D32" s="4">
        <v>172</v>
      </c>
      <c r="E32" s="8" t="s">
        <v>59</v>
      </c>
      <c r="F32" s="7" t="s">
        <v>72</v>
      </c>
      <c r="G32" s="8" t="s">
        <v>73</v>
      </c>
      <c r="H32" s="7" t="str">
        <f>"000038"</f>
        <v>000038</v>
      </c>
      <c r="I32" s="6">
        <v>42931</v>
      </c>
      <c r="J32" s="7" t="str">
        <f>"000205"</f>
        <v>000205</v>
      </c>
      <c r="K32" s="6">
        <v>43777</v>
      </c>
      <c r="L32" s="7" t="str">
        <f>"000205"</f>
        <v>000205</v>
      </c>
      <c r="M32" s="6">
        <v>43777</v>
      </c>
      <c r="N32" s="7">
        <v>16</v>
      </c>
      <c r="O32" s="7" t="str">
        <f>"006345"</f>
        <v>006345</v>
      </c>
      <c r="P32" s="6">
        <v>43791</v>
      </c>
      <c r="Q32" s="9">
        <v>2.86022</v>
      </c>
      <c r="R32" s="9">
        <v>0.25391999999999998</v>
      </c>
      <c r="S32" s="9">
        <v>2.6063000000000001</v>
      </c>
      <c r="T32" s="7">
        <v>13</v>
      </c>
      <c r="U32" s="6">
        <v>43795</v>
      </c>
      <c r="V32" s="7">
        <v>0</v>
      </c>
      <c r="W32" s="8" t="s">
        <v>74</v>
      </c>
      <c r="X32" s="7" t="s">
        <v>34</v>
      </c>
      <c r="Y32" s="8" t="s">
        <v>33</v>
      </c>
      <c r="Z32" s="7" t="s">
        <v>50</v>
      </c>
      <c r="AA32" s="8" t="s">
        <v>51</v>
      </c>
      <c r="AB32" s="9">
        <v>2.8602200000000001E-2</v>
      </c>
    </row>
    <row r="33" spans="1:28" x14ac:dyDescent="0.35">
      <c r="A33" s="4">
        <v>5394</v>
      </c>
      <c r="B33" s="5" t="s">
        <v>138</v>
      </c>
      <c r="C33" s="6">
        <v>43801</v>
      </c>
      <c r="D33" s="4">
        <v>172</v>
      </c>
      <c r="E33" s="8" t="s">
        <v>59</v>
      </c>
      <c r="F33" s="7" t="s">
        <v>139</v>
      </c>
      <c r="G33" s="8" t="s">
        <v>140</v>
      </c>
      <c r="H33" s="7" t="str">
        <f>"000529"</f>
        <v>000529</v>
      </c>
      <c r="I33" s="6">
        <v>43535</v>
      </c>
      <c r="J33" s="7" t="str">
        <f>"000060"</f>
        <v>000060</v>
      </c>
      <c r="K33" s="6">
        <v>43732</v>
      </c>
      <c r="L33" s="7" t="str">
        <f>"000130"</f>
        <v>000130</v>
      </c>
      <c r="M33" s="6">
        <v>43753</v>
      </c>
      <c r="N33" s="7">
        <v>19</v>
      </c>
      <c r="O33" s="7" t="str">
        <f>"006395"</f>
        <v>006395</v>
      </c>
      <c r="P33" s="6">
        <v>43794</v>
      </c>
      <c r="Q33" s="9">
        <v>11.916040000000001</v>
      </c>
      <c r="R33" s="9">
        <v>1.05881</v>
      </c>
      <c r="S33" s="9">
        <v>10.857229999999999</v>
      </c>
      <c r="T33" s="7">
        <v>13</v>
      </c>
      <c r="U33" s="6">
        <v>43801</v>
      </c>
      <c r="V33" s="7">
        <v>9916535289</v>
      </c>
      <c r="W33" s="8" t="s">
        <v>141</v>
      </c>
      <c r="X33" s="7" t="s">
        <v>142</v>
      </c>
      <c r="Y33" s="8" t="s">
        <v>143</v>
      </c>
      <c r="Z33" s="7" t="s">
        <v>55</v>
      </c>
      <c r="AA33" s="8" t="s">
        <v>56</v>
      </c>
      <c r="AB33" s="9">
        <v>0.1191604</v>
      </c>
    </row>
    <row r="34" spans="1:28" x14ac:dyDescent="0.35">
      <c r="A34" s="4">
        <v>5395</v>
      </c>
      <c r="B34" s="5" t="s">
        <v>138</v>
      </c>
      <c r="C34" s="6">
        <v>43820</v>
      </c>
      <c r="D34" s="4">
        <v>172</v>
      </c>
      <c r="E34" s="8" t="s">
        <v>59</v>
      </c>
      <c r="F34" s="7" t="s">
        <v>144</v>
      </c>
      <c r="G34" s="8" t="s">
        <v>145</v>
      </c>
      <c r="H34" s="7" t="str">
        <f>"000504"</f>
        <v>000504</v>
      </c>
      <c r="I34" s="6">
        <v>43532</v>
      </c>
      <c r="J34" s="7" t="str">
        <f>"000064"</f>
        <v>000064</v>
      </c>
      <c r="K34" s="6">
        <v>43748</v>
      </c>
      <c r="L34" s="7" t="str">
        <f>"000136"</f>
        <v>000136</v>
      </c>
      <c r="M34" s="6">
        <v>43768</v>
      </c>
      <c r="N34" s="7">
        <v>19</v>
      </c>
      <c r="O34" s="7" t="str">
        <f>"006887"</f>
        <v>006887</v>
      </c>
      <c r="P34" s="6">
        <v>43819</v>
      </c>
      <c r="Q34" s="9">
        <v>19.721150000000002</v>
      </c>
      <c r="R34" s="9">
        <v>1.64669</v>
      </c>
      <c r="S34" s="9">
        <v>18.074459999999998</v>
      </c>
      <c r="T34" s="7">
        <v>13</v>
      </c>
      <c r="U34" s="6">
        <v>43820</v>
      </c>
      <c r="V34" s="7">
        <v>9845135453</v>
      </c>
      <c r="W34" s="8" t="s">
        <v>146</v>
      </c>
      <c r="X34" s="7" t="s">
        <v>124</v>
      </c>
      <c r="Y34" s="8" t="s">
        <v>125</v>
      </c>
      <c r="Z34" s="7" t="s">
        <v>55</v>
      </c>
      <c r="AA34" s="8" t="s">
        <v>56</v>
      </c>
      <c r="AB34" s="9">
        <v>0.19721150000000001</v>
      </c>
    </row>
    <row r="35" spans="1:28" x14ac:dyDescent="0.35">
      <c r="A35" s="4">
        <v>5396</v>
      </c>
      <c r="B35" s="5" t="s">
        <v>138</v>
      </c>
      <c r="C35" s="6">
        <v>43823</v>
      </c>
      <c r="D35" s="4">
        <v>172</v>
      </c>
      <c r="E35" s="8" t="s">
        <v>59</v>
      </c>
      <c r="F35" s="7" t="s">
        <v>147</v>
      </c>
      <c r="G35" s="8" t="s">
        <v>148</v>
      </c>
      <c r="H35" s="7" t="str">
        <f>"000005"</f>
        <v>000005</v>
      </c>
      <c r="I35" s="6">
        <v>43194</v>
      </c>
      <c r="J35" s="7" t="str">
        <f>"000004"</f>
        <v>000004</v>
      </c>
      <c r="K35" s="6">
        <v>43194</v>
      </c>
      <c r="L35" s="7" t="str">
        <f>"000002"</f>
        <v>000002</v>
      </c>
      <c r="M35" s="6">
        <v>43196</v>
      </c>
      <c r="N35" s="7">
        <v>17</v>
      </c>
      <c r="O35" s="7" t="str">
        <f>"006783"</f>
        <v>006783</v>
      </c>
      <c r="P35" s="6">
        <v>43811</v>
      </c>
      <c r="Q35" s="9">
        <v>4.9926500000000003</v>
      </c>
      <c r="R35" s="9">
        <v>0.45934000000000003</v>
      </c>
      <c r="S35" s="9">
        <v>4.5333100000000002</v>
      </c>
      <c r="T35" s="7">
        <v>13</v>
      </c>
      <c r="U35" s="6">
        <v>43823</v>
      </c>
      <c r="V35" s="7">
        <v>9980145519</v>
      </c>
      <c r="W35" s="8" t="s">
        <v>149</v>
      </c>
      <c r="X35" s="7" t="s">
        <v>30</v>
      </c>
      <c r="Y35" s="8" t="s">
        <v>31</v>
      </c>
      <c r="Z35" s="7" t="s">
        <v>55</v>
      </c>
      <c r="AA35" s="8" t="s">
        <v>56</v>
      </c>
      <c r="AB35" s="9">
        <v>4.9926500000000006E-2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2020-01-30T07:02:49Z</dcterms:modified>
</cp:coreProperties>
</file>