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BPR Q1 Q2 Q3\Contractor Bill Payment (Bill Register) Q1 Q2 Q3\"/>
    </mc:Choice>
  </mc:AlternateContent>
  <bookViews>
    <workbookView xWindow="0" yWindow="0" windowWidth="11790" windowHeight="56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1" i="1" l="1"/>
  <c r="L41" i="1"/>
  <c r="J41" i="1"/>
  <c r="H41" i="1"/>
  <c r="O40" i="1"/>
  <c r="L40" i="1"/>
  <c r="J40" i="1"/>
  <c r="H40" i="1"/>
  <c r="O39" i="1"/>
  <c r="L39" i="1"/>
  <c r="J39" i="1"/>
  <c r="H39" i="1"/>
  <c r="O38" i="1"/>
  <c r="L38" i="1"/>
  <c r="J38" i="1"/>
  <c r="H38" i="1"/>
  <c r="AB37" i="1"/>
  <c r="O37" i="1"/>
  <c r="L37" i="1"/>
  <c r="J37" i="1"/>
  <c r="H37" i="1"/>
  <c r="AB36" i="1"/>
  <c r="O36" i="1"/>
  <c r="L36" i="1"/>
  <c r="J36" i="1"/>
  <c r="H36" i="1"/>
  <c r="AB35" i="1"/>
  <c r="O35" i="1"/>
  <c r="L35" i="1"/>
  <c r="J35" i="1"/>
  <c r="H35" i="1"/>
  <c r="AB34" i="1"/>
  <c r="O34" i="1"/>
  <c r="L34" i="1"/>
  <c r="J34" i="1"/>
  <c r="H34" i="1"/>
  <c r="AB33" i="1"/>
  <c r="O33" i="1"/>
  <c r="L33" i="1"/>
  <c r="J33" i="1"/>
  <c r="H33" i="1"/>
  <c r="AB32" i="1"/>
  <c r="O32" i="1"/>
  <c r="L32" i="1"/>
  <c r="J32" i="1"/>
  <c r="H32" i="1"/>
  <c r="AB31" i="1"/>
  <c r="O31" i="1"/>
  <c r="L31" i="1"/>
  <c r="J31" i="1"/>
  <c r="H31" i="1"/>
  <c r="AB30" i="1"/>
  <c r="O30" i="1"/>
  <c r="L30" i="1"/>
  <c r="J30" i="1"/>
  <c r="H30" i="1"/>
  <c r="AB29" i="1"/>
  <c r="O29" i="1"/>
  <c r="L29" i="1"/>
  <c r="J29" i="1"/>
  <c r="H29" i="1"/>
  <c r="AB28" i="1"/>
  <c r="O28" i="1"/>
  <c r="L28" i="1"/>
  <c r="J28" i="1"/>
  <c r="H28" i="1"/>
  <c r="AB27" i="1"/>
  <c r="O27" i="1"/>
  <c r="L27" i="1"/>
  <c r="J27" i="1"/>
  <c r="H27" i="1"/>
  <c r="AB26" i="1"/>
  <c r="O26" i="1"/>
  <c r="L26" i="1"/>
  <c r="J26" i="1"/>
  <c r="H26" i="1"/>
  <c r="AB25" i="1"/>
  <c r="O25" i="1"/>
  <c r="L25" i="1"/>
  <c r="J25" i="1"/>
  <c r="H25" i="1"/>
  <c r="AB24" i="1"/>
  <c r="O24" i="1"/>
  <c r="L24" i="1"/>
  <c r="J24" i="1"/>
  <c r="H24" i="1"/>
  <c r="AB23" i="1"/>
  <c r="O23" i="1"/>
  <c r="L23" i="1"/>
  <c r="J23" i="1"/>
  <c r="H23" i="1"/>
  <c r="AB22" i="1"/>
  <c r="O22" i="1"/>
  <c r="L22" i="1"/>
  <c r="J22" i="1"/>
  <c r="H22" i="1"/>
  <c r="AB21" i="1"/>
  <c r="O21" i="1"/>
  <c r="L21" i="1"/>
  <c r="J21" i="1"/>
  <c r="H21" i="1"/>
  <c r="AB20" i="1"/>
  <c r="O20" i="1"/>
  <c r="L20" i="1"/>
  <c r="J20" i="1"/>
  <c r="H20" i="1"/>
  <c r="AB19" i="1"/>
  <c r="O19" i="1"/>
  <c r="L19" i="1"/>
  <c r="J19" i="1"/>
  <c r="H19" i="1"/>
  <c r="AB18" i="1"/>
  <c r="O18" i="1"/>
  <c r="L18" i="1"/>
  <c r="J18" i="1"/>
  <c r="H18" i="1"/>
  <c r="AB17" i="1"/>
  <c r="O17" i="1"/>
  <c r="L17" i="1"/>
  <c r="J17" i="1"/>
  <c r="H17" i="1"/>
  <c r="AB16" i="1"/>
  <c r="O16" i="1"/>
  <c r="L16" i="1"/>
  <c r="J16" i="1"/>
  <c r="H16" i="1"/>
  <c r="AB15" i="1"/>
  <c r="O15" i="1"/>
  <c r="L15" i="1"/>
  <c r="J15" i="1"/>
  <c r="H15" i="1"/>
  <c r="AB14" i="1"/>
  <c r="O14" i="1"/>
  <c r="L14" i="1"/>
  <c r="J14" i="1"/>
  <c r="H14" i="1"/>
  <c r="AB13" i="1"/>
  <c r="O13" i="1"/>
  <c r="L13" i="1"/>
  <c r="J13" i="1"/>
  <c r="H13" i="1"/>
  <c r="AB12" i="1"/>
  <c r="O12" i="1"/>
  <c r="L12" i="1"/>
  <c r="J12" i="1"/>
  <c r="H12" i="1"/>
  <c r="AB11" i="1"/>
  <c r="O11" i="1"/>
  <c r="L11" i="1"/>
  <c r="J11" i="1"/>
  <c r="H11" i="1"/>
  <c r="AB10" i="1"/>
  <c r="O10" i="1"/>
  <c r="L10" i="1"/>
  <c r="J10" i="1"/>
  <c r="H10" i="1"/>
  <c r="AB9" i="1"/>
  <c r="O9" i="1"/>
  <c r="L9" i="1"/>
  <c r="J9" i="1"/>
  <c r="H9" i="1"/>
  <c r="AB8" i="1"/>
  <c r="O8" i="1"/>
  <c r="L8" i="1"/>
  <c r="J8" i="1"/>
  <c r="H8" i="1"/>
  <c r="AB7" i="1"/>
  <c r="O7" i="1"/>
  <c r="L7" i="1"/>
  <c r="J7" i="1"/>
  <c r="H7" i="1"/>
  <c r="AB6" i="1"/>
  <c r="O6" i="1"/>
  <c r="L6" i="1"/>
  <c r="J6" i="1"/>
  <c r="H6" i="1"/>
  <c r="AB5" i="1"/>
  <c r="O5" i="1"/>
  <c r="L5" i="1"/>
  <c r="J5" i="1"/>
  <c r="H5" i="1"/>
  <c r="AB4" i="1"/>
  <c r="O4" i="1"/>
  <c r="L4" i="1"/>
  <c r="J4" i="1"/>
  <c r="H4" i="1"/>
  <c r="AB3" i="1"/>
  <c r="O3" i="1"/>
  <c r="L3" i="1"/>
  <c r="J3" i="1"/>
  <c r="H3" i="1"/>
  <c r="AB2" i="1"/>
  <c r="O2" i="1"/>
  <c r="L2" i="1"/>
  <c r="J2" i="1"/>
  <c r="H2" i="1"/>
</calcChain>
</file>

<file path=xl/sharedStrings.xml><?xml version="1.0" encoding="utf-8"?>
<sst xmlns="http://schemas.openxmlformats.org/spreadsheetml/2006/main" count="388" uniqueCount="155">
  <si>
    <t>SL No</t>
  </si>
  <si>
    <t>Month</t>
  </si>
  <si>
    <t>Date</t>
  </si>
  <si>
    <t>Ward_No</t>
  </si>
  <si>
    <t>Ward_Name</t>
  </si>
  <si>
    <t>Job_Code</t>
  </si>
  <si>
    <t>Job_Description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</si>
  <si>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</si>
  <si>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</si>
  <si>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</si>
  <si>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</si>
  <si>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</si>
  <si>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</si>
  <si>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</si>
  <si>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</si>
  <si>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</si>
  <si>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</si>
  <si>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</si>
  <si>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</si>
  <si>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</si>
  <si>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</si>
  <si>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</si>
  <si>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</si>
  <si>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</si>
  <si>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</si>
  <si>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</si>
  <si>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</si>
  <si>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</si>
  <si>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>April</t>
  </si>
  <si>
    <t>P1771</t>
  </si>
  <si>
    <t>Zone Works - POW Works</t>
  </si>
  <si>
    <t>May</t>
  </si>
  <si>
    <t>P3296</t>
  </si>
  <si>
    <t>14th Finance Commission Works - Road and Footpath Maintenance</t>
  </si>
  <si>
    <t>P3291</t>
  </si>
  <si>
    <t>14th Fin  -Maintenance of Cremotorium, Burial Grounds</t>
  </si>
  <si>
    <t>P3292</t>
  </si>
  <si>
    <t>14th Finance Commission Works - Community Property Maintenance (including Parks)</t>
  </si>
  <si>
    <t>ddo490</t>
  </si>
  <si>
    <t xml:space="preserve"> Assistant Executive Engineer Banashankari South Zone</t>
  </si>
  <si>
    <t>Banashankari Temple Ward</t>
  </si>
  <si>
    <t>180-17-000012</t>
  </si>
  <si>
    <t>Special Gangmens in Ward No.180</t>
  </si>
  <si>
    <t>G R AMARNATH</t>
  </si>
  <si>
    <t>180-15-000013</t>
  </si>
  <si>
    <t xml:space="preserve">Engaging men and materials for removal of debris and cleaning of drains in Ward No180 </t>
  </si>
  <si>
    <t>M/s. Sri Lakhsmi Ranganatha Swamy Enterprises, Prop. Sri. B.S. Kiran Kumar</t>
  </si>
  <si>
    <t>180-18-000009</t>
  </si>
  <si>
    <t>Removal of Debris in BBMP Vacant sites in ward No 180</t>
  </si>
  <si>
    <t>Technical Manager (3), Karnataka Rural Infrastructure Development Limited (KRIDL)</t>
  </si>
  <si>
    <t>180-18-000010</t>
  </si>
  <si>
    <t>Community property maintenance (including parks) in Ward No 180</t>
  </si>
  <si>
    <t>180-18-000013</t>
  </si>
  <si>
    <t>Maintenance of roads and footpath at ward No 180</t>
  </si>
  <si>
    <t>July</t>
  </si>
  <si>
    <t>180-17-000020</t>
  </si>
  <si>
    <t>Development of drain and roads in vijaya collage slum cross road in ward No. 180</t>
  </si>
  <si>
    <t>C KRISHNA</t>
  </si>
  <si>
    <t>P3172</t>
  </si>
  <si>
    <t>Special Development works in ward No.177,78,97, 57,99,100,68,11,126,168, 113,02, 181,03, 21,33,23,24,27 ,59,53,57,81,47, 45,72, 50,91,92,117,145,146,147,148,151,152, 122,134, 157, 84,85,150,163, 179,180, 170, 171, 175,176, 173,174, 186,189, 190,193,185,191,194, 195,196, 127, (Rs.200 lakhs each ward)</t>
  </si>
  <si>
    <t>180-17-000016</t>
  </si>
  <si>
    <t>Providing Lighting system to Kadirenahalli park and street light fittings in ward no 180</t>
  </si>
  <si>
    <t>M/S Shree Bharathi Electricals (B,K,Bhaskar)</t>
  </si>
  <si>
    <t>ddo258</t>
  </si>
  <si>
    <t xml:space="preserve"> Executive Engineer Electrical South Zone</t>
  </si>
  <si>
    <t>180-19-000009</t>
  </si>
  <si>
    <t xml:space="preserve"> Providing CC road to 9th cross Pragathipura in ward no 180 Banashankari Temple</t>
  </si>
  <si>
    <t>P1878</t>
  </si>
  <si>
    <t>18per - Works (Bhagyajyothi, Sooru / Neeru Yojane and General) (54 Lakhs / New Wards)</t>
  </si>
  <si>
    <t>180-19-000010</t>
  </si>
  <si>
    <t>Improvements of roads and drains at 10th cross 11th main road Bhavaninagar near Shanimahatma temple in ward no 180 Banashankari Temple</t>
  </si>
  <si>
    <t>180-19-000011</t>
  </si>
  <si>
    <t>Improvements of roads and drains at Dr. BR Ambedkar statue opposite road Bhavaninagar in ward no 180 Banashankari Temple</t>
  </si>
  <si>
    <t>180-14-000020</t>
  </si>
  <si>
    <t>Construction of Ward Office Building in IPP Hospital 9th main road Yarabnagar in Banashankari ward no 180</t>
  </si>
  <si>
    <t>Executive Engineer -3 , KRIDL</t>
  </si>
  <si>
    <t>P2434</t>
  </si>
  <si>
    <t>Development works for Bangalore City</t>
  </si>
  <si>
    <t>180-17-000002</t>
  </si>
  <si>
    <t>Improvements to roads and drains at Eshwarinagar in Ward No.180</t>
  </si>
  <si>
    <t>M/s. Sonu Engineers, Prop. Sri. K.C. Sreedhar</t>
  </si>
  <si>
    <t>180-17-000004</t>
  </si>
  <si>
    <t>Improvements to drains at Teachers Layout in Ward No.180</t>
  </si>
  <si>
    <t>180-17-000008</t>
  </si>
  <si>
    <t>Improvements to drains at Pragathipura main road in Ward No.180</t>
  </si>
  <si>
    <t>180-17-000003</t>
  </si>
  <si>
    <t>Improvements to drains at Gangadharnagar in Ward No.180</t>
  </si>
  <si>
    <t>180-17-000007</t>
  </si>
  <si>
    <t>Improvements to drains at Yarabnagar/Masjid road in Ward No.180</t>
  </si>
  <si>
    <t>180-17-000009</t>
  </si>
  <si>
    <t>Improvements to drains and footpath at Yarabnagar main road from Masjid to Subramanyapura road in Ward No.180</t>
  </si>
  <si>
    <t>180-17-000001</t>
  </si>
  <si>
    <t>Improvements to Drains at Bhavani Nagar area in Ward No 180</t>
  </si>
  <si>
    <t>180-19-000012</t>
  </si>
  <si>
    <t>Improvements of roads and drian at Opposite to Stadium at Bhavaninagar in ward no 180 Banashankari Temple</t>
  </si>
  <si>
    <t>180-14-000016</t>
  </si>
  <si>
    <t>Construction of RCC drain wall in Sarabandepalya and pragathipura in ward no 180 Banashankari</t>
  </si>
  <si>
    <t>Technical Manager (3), KRIDL</t>
  </si>
  <si>
    <t>P2775</t>
  </si>
  <si>
    <t>Construction of RCC drain wall in Sarabandepalya, Pragathipura in W.No 180</t>
  </si>
  <si>
    <t>180-14-000018</t>
  </si>
  <si>
    <t>Constreuction of RCC drain wall from Kanakapura road to Bhavaninagar southern side of Subramanypura main road (drain shoulder drain and footpath) in ward no 180 Banashankari</t>
  </si>
  <si>
    <t>P2845</t>
  </si>
  <si>
    <t>Construction of RCC wall in Kanakpura road to Bhavaninagar Subramanyapura in W.No 180</t>
  </si>
  <si>
    <t>September</t>
  </si>
  <si>
    <t>180-18-000027</t>
  </si>
  <si>
    <t>Emergency works for Filling Pot holes and providing patch works in Ward Jurisdiction in Ward No.180</t>
  </si>
  <si>
    <t>J NAVEEN</t>
  </si>
  <si>
    <t>180-19-000001</t>
  </si>
  <si>
    <t>R O plant in Banashankari Temple ward no 180</t>
  </si>
  <si>
    <t>P3445</t>
  </si>
  <si>
    <t>Establishment of R.O.Plant for each ward Rs.15.00 Lakhs each</t>
  </si>
  <si>
    <t>180-19-000038</t>
  </si>
  <si>
    <t>Construction and Improvements to Urinal Toilet at premises of Kadirenahalli Stadium in Bhavaninagar in ward no 180 Banashankari Temple</t>
  </si>
  <si>
    <t>P3396</t>
  </si>
  <si>
    <t>Developmental works in Ward No.18, 157, 107, 180, 192, 46, 127, 115, 163, 168, Rs.7cr each</t>
  </si>
  <si>
    <t>180-19-000034</t>
  </si>
  <si>
    <t>Providing chain link fencing and maintenance and other related works Hospital Building in ward no 180</t>
  </si>
  <si>
    <t>180-19-000032</t>
  </si>
  <si>
    <t>Drinking water pipeline in Yarabnagar slum opp quba mazidi in ward no 180</t>
  </si>
  <si>
    <t>180-19-000033</t>
  </si>
  <si>
    <t>Desitling drains at Pragathipura Umarbhagh layout surrounding area in ward no 180 Banashankari Temple</t>
  </si>
  <si>
    <t>180-19-000035</t>
  </si>
  <si>
    <t>Desilting drains at Yarabhanagar and Bhavaninagar in ward no 180</t>
  </si>
  <si>
    <t>180-19-000039</t>
  </si>
  <si>
    <t>Development works Drinking water facility and pipeline at Yarabhnagar surrounding area in ward no 180 Banashankari Temple</t>
  </si>
  <si>
    <t>180-19-000041</t>
  </si>
  <si>
    <t>Development works Drinking water facility and pipeline at Eshwarinagar surrounding area in ward no 180 Banashankari Temple</t>
  </si>
  <si>
    <t>180-19-000031</t>
  </si>
  <si>
    <t>Drinking water pipeline in Yarabnagar 7th 8th and 9th cross and surrounding area in ward no 180</t>
  </si>
  <si>
    <t>180-19-000044</t>
  </si>
  <si>
    <t>Development works Drinking water facility and pipeline at Nehru colony Mariyamma Temple surrounding area in ward no 180 Banashankari Temple</t>
  </si>
  <si>
    <t>180-14-000015</t>
  </si>
  <si>
    <t>Emergency work in Ward No 180 (Special repairs to IPP Building at 9th main Yarabnagar in Ward No-180)</t>
  </si>
  <si>
    <t>K K HARISH</t>
  </si>
  <si>
    <t>180-17-000022</t>
  </si>
  <si>
    <t>Development and Construction of Anganavadi Center in 7th Cross 9th Main Yarabnagara in ward No. 180</t>
  </si>
  <si>
    <t>K C DILEEP</t>
  </si>
  <si>
    <t>180-19-000002</t>
  </si>
  <si>
    <t>Improvements to road and drain in 35th cross road behind SVS School Bhavani nagar BSK 2nd stage ward no 180 Banashankari Temple</t>
  </si>
  <si>
    <t>P3111</t>
  </si>
  <si>
    <t>State Finance Commission Untied Grant Works</t>
  </si>
  <si>
    <t>October</t>
  </si>
  <si>
    <t>180-19-000004</t>
  </si>
  <si>
    <t>Improvements to road and drain in 10th Main 35th cross road Yarabnagar ward no 180 Banashankari Temple</t>
  </si>
  <si>
    <t>180-17-000027</t>
  </si>
  <si>
    <t>Engagement of Gangman and Hiring of Tractor Tippers for cleaning and Maintenance of road side drains and other cleaning works in works in ward no 180</t>
  </si>
  <si>
    <t>P3110</t>
  </si>
  <si>
    <t>14th Finance Commission Grant Works</t>
  </si>
  <si>
    <t>December</t>
  </si>
  <si>
    <t>180-17-000011</t>
  </si>
  <si>
    <t>Depot Collection in Ward No.180</t>
  </si>
  <si>
    <t>K C MANJUNATH</t>
  </si>
  <si>
    <t>180-17-000032</t>
  </si>
  <si>
    <t>Solid Waste Management works in W N 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</si>
</sst>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5" fontId="3" fillId="0" borderId="1" xfId="0" applyNumberFormat="1" applyFont="1" applyBorder="1" applyAlignment="1">
      <alignment horizontal="left" vertical="center"/>
    </xf>
    <xf numFmtId="1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2" fontId="3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1"/>
  <sheetViews>
    <sheetView tabSelected="1" workbookViewId="0">
      <selection activeCell="A2" sqref="A2:XFD41"/>
    </sheetView>
  </sheetViews>
  <sheetFormatPr defaultRowHeight="14.5" x14ac:dyDescent="0.35"/>
  <cols>
    <col min="2" max="2" width="6.26953125" bestFit="1" customWidth="1"/>
    <col min="3" max="3" width="9.54296875" bestFit="1" customWidth="1"/>
    <col min="5" max="5" width="16.26953125" bestFit="1" customWidth="1"/>
    <col min="6" max="6" width="13.26953125" bestFit="1" customWidth="1"/>
    <col min="7" max="7" width="31.81640625" customWidth="1"/>
    <col min="16" max="16" width="9.54296875" bestFit="1" customWidth="1"/>
    <col min="21" max="21" width="9.54296875" bestFit="1" customWidth="1"/>
    <col min="27" max="27" width="16.81640625" customWidth="1"/>
  </cols>
  <sheetData>
    <row r="1" spans="1:28" s="3" customFormat="1" ht="24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2" t="s">
        <v>21</v>
      </c>
      <c r="W1" s="1" t="s">
        <v>22</v>
      </c>
      <c r="X1" s="1" t="s">
        <v>23</v>
      </c>
      <c r="Y1" s="1" t="s">
        <v>24</v>
      </c>
      <c r="Z1" s="2" t="s">
        <v>25</v>
      </c>
      <c r="AA1" s="1" t="s">
        <v>26</v>
      </c>
      <c r="AB1" s="2" t="s">
        <v>27</v>
      </c>
    </row>
    <row r="2" spans="1:28" x14ac:dyDescent="0.35">
      <c r="A2" s="4">
        <v>5557</v>
      </c>
      <c r="B2" s="5" t="s">
        <v>28</v>
      </c>
      <c r="C2" s="6">
        <v>43575</v>
      </c>
      <c r="D2" s="7">
        <v>180</v>
      </c>
      <c r="E2" s="8" t="s">
        <v>40</v>
      </c>
      <c r="F2" s="7" t="s">
        <v>41</v>
      </c>
      <c r="G2" s="8" t="s">
        <v>42</v>
      </c>
      <c r="H2" s="7" t="str">
        <f>"000002"</f>
        <v>000002</v>
      </c>
      <c r="I2" s="6">
        <v>42832</v>
      </c>
      <c r="J2" s="7" t="str">
        <f>"000043"</f>
        <v>000043</v>
      </c>
      <c r="K2" s="6">
        <v>43145</v>
      </c>
      <c r="L2" s="7" t="str">
        <f>"000090"</f>
        <v>000090</v>
      </c>
      <c r="M2" s="6">
        <v>43147</v>
      </c>
      <c r="N2" s="7">
        <v>17</v>
      </c>
      <c r="O2" s="7" t="str">
        <f>"000505"</f>
        <v>000505</v>
      </c>
      <c r="P2" s="6">
        <v>43567</v>
      </c>
      <c r="Q2" s="9">
        <v>4.9808300000000001</v>
      </c>
      <c r="R2" s="9">
        <v>0.45483000000000001</v>
      </c>
      <c r="S2" s="9">
        <v>4.5259999999999998</v>
      </c>
      <c r="T2" s="7">
        <v>21</v>
      </c>
      <c r="U2" s="6">
        <v>43575</v>
      </c>
      <c r="V2" s="7">
        <v>8147135944</v>
      </c>
      <c r="W2" s="8" t="s">
        <v>43</v>
      </c>
      <c r="X2" s="7" t="s">
        <v>29</v>
      </c>
      <c r="Y2" s="8" t="s">
        <v>30</v>
      </c>
      <c r="Z2" s="7" t="s">
        <v>38</v>
      </c>
      <c r="AA2" s="8" t="s">
        <v>39</v>
      </c>
      <c r="AB2" s="9">
        <f t="shared" ref="AB2:AB37" si="0">Q2/100</f>
        <v>4.98083E-2</v>
      </c>
    </row>
    <row r="3" spans="1:28" x14ac:dyDescent="0.35">
      <c r="A3" s="4">
        <v>5558</v>
      </c>
      <c r="B3" s="5" t="s">
        <v>28</v>
      </c>
      <c r="C3" s="6">
        <v>43582</v>
      </c>
      <c r="D3" s="7">
        <v>180</v>
      </c>
      <c r="E3" s="8" t="s">
        <v>40</v>
      </c>
      <c r="F3" s="7" t="s">
        <v>44</v>
      </c>
      <c r="G3" s="8" t="s">
        <v>45</v>
      </c>
      <c r="H3" s="7" t="str">
        <f>"000142"</f>
        <v>000142</v>
      </c>
      <c r="I3" s="6">
        <v>42042</v>
      </c>
      <c r="J3" s="7" t="str">
        <f>"000042"</f>
        <v>000042</v>
      </c>
      <c r="K3" s="6">
        <v>43145</v>
      </c>
      <c r="L3" s="7" t="str">
        <f>"000097"</f>
        <v>000097</v>
      </c>
      <c r="M3" s="6">
        <v>43147</v>
      </c>
      <c r="N3" s="7">
        <v>15</v>
      </c>
      <c r="O3" s="7" t="str">
        <f>"001032"</f>
        <v>001032</v>
      </c>
      <c r="P3" s="6">
        <v>43580</v>
      </c>
      <c r="Q3" s="9">
        <v>12.47326</v>
      </c>
      <c r="R3" s="9">
        <v>1.1312599999999999</v>
      </c>
      <c r="S3" s="9">
        <v>11.342000000000001</v>
      </c>
      <c r="T3" s="7">
        <v>31</v>
      </c>
      <c r="U3" s="6">
        <v>43582</v>
      </c>
      <c r="V3" s="7">
        <v>9964218400</v>
      </c>
      <c r="W3" s="8" t="s">
        <v>46</v>
      </c>
      <c r="X3" s="7" t="s">
        <v>29</v>
      </c>
      <c r="Y3" s="8" t="s">
        <v>30</v>
      </c>
      <c r="Z3" s="7" t="s">
        <v>38</v>
      </c>
      <c r="AA3" s="8" t="s">
        <v>39</v>
      </c>
      <c r="AB3" s="9">
        <f t="shared" si="0"/>
        <v>0.1247326</v>
      </c>
    </row>
    <row r="4" spans="1:28" x14ac:dyDescent="0.35">
      <c r="A4" s="4">
        <v>5559</v>
      </c>
      <c r="B4" s="5" t="s">
        <v>31</v>
      </c>
      <c r="C4" s="6">
        <v>43591</v>
      </c>
      <c r="D4" s="7">
        <v>180</v>
      </c>
      <c r="E4" s="8" t="s">
        <v>40</v>
      </c>
      <c r="F4" s="7" t="s">
        <v>47</v>
      </c>
      <c r="G4" s="8" t="s">
        <v>48</v>
      </c>
      <c r="H4" s="7" t="str">
        <f>"000152"</f>
        <v>000152</v>
      </c>
      <c r="I4" s="6">
        <v>43495</v>
      </c>
      <c r="J4" s="7" t="str">
        <f>"000103"</f>
        <v>000103</v>
      </c>
      <c r="K4" s="6">
        <v>43544</v>
      </c>
      <c r="L4" s="7" t="str">
        <f>"000211"</f>
        <v>000211</v>
      </c>
      <c r="M4" s="6">
        <v>43544</v>
      </c>
      <c r="N4" s="7">
        <v>18</v>
      </c>
      <c r="O4" s="7" t="str">
        <f>"001228"</f>
        <v>001228</v>
      </c>
      <c r="P4" s="6">
        <v>43585</v>
      </c>
      <c r="Q4" s="9">
        <v>4.8666499999999999</v>
      </c>
      <c r="R4" s="9">
        <v>0.48165000000000002</v>
      </c>
      <c r="S4" s="9">
        <v>4.3849999999999998</v>
      </c>
      <c r="T4" s="7">
        <v>35</v>
      </c>
      <c r="U4" s="6">
        <v>43591</v>
      </c>
      <c r="V4" s="7">
        <v>9986697126</v>
      </c>
      <c r="W4" s="8" t="s">
        <v>49</v>
      </c>
      <c r="X4" s="7" t="s">
        <v>34</v>
      </c>
      <c r="Y4" s="8" t="s">
        <v>35</v>
      </c>
      <c r="Z4" s="7" t="s">
        <v>38</v>
      </c>
      <c r="AA4" s="8" t="s">
        <v>39</v>
      </c>
      <c r="AB4" s="9">
        <f t="shared" si="0"/>
        <v>4.8666500000000001E-2</v>
      </c>
    </row>
    <row r="5" spans="1:28" x14ac:dyDescent="0.35">
      <c r="A5" s="4">
        <v>5560</v>
      </c>
      <c r="B5" s="5" t="s">
        <v>31</v>
      </c>
      <c r="C5" s="6">
        <v>43591</v>
      </c>
      <c r="D5" s="7">
        <v>180</v>
      </c>
      <c r="E5" s="8" t="s">
        <v>40</v>
      </c>
      <c r="F5" s="7" t="s">
        <v>50</v>
      </c>
      <c r="G5" s="8" t="s">
        <v>51</v>
      </c>
      <c r="H5" s="7" t="str">
        <f>"000153"</f>
        <v>000153</v>
      </c>
      <c r="I5" s="6">
        <v>43495</v>
      </c>
      <c r="J5" s="7" t="str">
        <f>"000104"</f>
        <v>000104</v>
      </c>
      <c r="K5" s="6">
        <v>43544</v>
      </c>
      <c r="L5" s="7" t="str">
        <f>"000212"</f>
        <v>000212</v>
      </c>
      <c r="M5" s="6">
        <v>43544</v>
      </c>
      <c r="N5" s="7">
        <v>18</v>
      </c>
      <c r="O5" s="7" t="str">
        <f>"001229"</f>
        <v>001229</v>
      </c>
      <c r="P5" s="6">
        <v>43585</v>
      </c>
      <c r="Q5" s="9">
        <v>4.8111699999999997</v>
      </c>
      <c r="R5" s="9">
        <v>0.54117000000000004</v>
      </c>
      <c r="S5" s="9">
        <v>4.2699999999999996</v>
      </c>
      <c r="T5" s="7">
        <v>35</v>
      </c>
      <c r="U5" s="6">
        <v>43591</v>
      </c>
      <c r="V5" s="7">
        <v>9986697126</v>
      </c>
      <c r="W5" s="8" t="s">
        <v>49</v>
      </c>
      <c r="X5" s="7" t="s">
        <v>36</v>
      </c>
      <c r="Y5" s="8" t="s">
        <v>37</v>
      </c>
      <c r="Z5" s="7" t="s">
        <v>38</v>
      </c>
      <c r="AA5" s="8" t="s">
        <v>39</v>
      </c>
      <c r="AB5" s="9">
        <f t="shared" si="0"/>
        <v>4.81117E-2</v>
      </c>
    </row>
    <row r="6" spans="1:28" x14ac:dyDescent="0.35">
      <c r="A6" s="4">
        <v>5561</v>
      </c>
      <c r="B6" s="5" t="s">
        <v>31</v>
      </c>
      <c r="C6" s="6">
        <v>43591</v>
      </c>
      <c r="D6" s="7">
        <v>180</v>
      </c>
      <c r="E6" s="8" t="s">
        <v>40</v>
      </c>
      <c r="F6" s="7" t="s">
        <v>52</v>
      </c>
      <c r="G6" s="8" t="s">
        <v>53</v>
      </c>
      <c r="H6" s="7" t="str">
        <f>"000154"</f>
        <v>000154</v>
      </c>
      <c r="I6" s="6">
        <v>43495</v>
      </c>
      <c r="J6" s="7" t="str">
        <f>"000105"</f>
        <v>000105</v>
      </c>
      <c r="K6" s="6">
        <v>43544</v>
      </c>
      <c r="L6" s="7" t="str">
        <f>"000213"</f>
        <v>000213</v>
      </c>
      <c r="M6" s="6">
        <v>43544</v>
      </c>
      <c r="N6" s="7">
        <v>18</v>
      </c>
      <c r="O6" s="7" t="str">
        <f>"001230"</f>
        <v>001230</v>
      </c>
      <c r="P6" s="6">
        <v>43585</v>
      </c>
      <c r="Q6" s="9">
        <v>14.38838</v>
      </c>
      <c r="R6" s="9">
        <v>1.53338</v>
      </c>
      <c r="S6" s="9">
        <v>12.855</v>
      </c>
      <c r="T6" s="7">
        <v>35</v>
      </c>
      <c r="U6" s="6">
        <v>43591</v>
      </c>
      <c r="V6" s="7">
        <v>9986697126</v>
      </c>
      <c r="W6" s="8" t="s">
        <v>49</v>
      </c>
      <c r="X6" s="7" t="s">
        <v>32</v>
      </c>
      <c r="Y6" s="8" t="s">
        <v>33</v>
      </c>
      <c r="Z6" s="7" t="s">
        <v>38</v>
      </c>
      <c r="AA6" s="8" t="s">
        <v>39</v>
      </c>
      <c r="AB6" s="9">
        <f t="shared" si="0"/>
        <v>0.14388380000000001</v>
      </c>
    </row>
    <row r="7" spans="1:28" x14ac:dyDescent="0.35">
      <c r="A7" s="4">
        <v>5562</v>
      </c>
      <c r="B7" s="5" t="s">
        <v>54</v>
      </c>
      <c r="C7" s="6">
        <v>43647</v>
      </c>
      <c r="D7" s="7">
        <v>180</v>
      </c>
      <c r="E7" s="8" t="s">
        <v>40</v>
      </c>
      <c r="F7" s="7" t="s">
        <v>55</v>
      </c>
      <c r="G7" s="10" t="s">
        <v>56</v>
      </c>
      <c r="H7" s="7" t="str">
        <f>"000043"</f>
        <v>000043</v>
      </c>
      <c r="I7" s="6">
        <v>43034</v>
      </c>
      <c r="J7" s="7" t="str">
        <f>"000033"</f>
        <v>000033</v>
      </c>
      <c r="K7" s="6">
        <v>43116</v>
      </c>
      <c r="L7" s="7" t="str">
        <f>"000082"</f>
        <v>000082</v>
      </c>
      <c r="M7" s="6">
        <v>43120</v>
      </c>
      <c r="N7" s="7">
        <v>17</v>
      </c>
      <c r="O7" s="7" t="str">
        <f>"003129"</f>
        <v>003129</v>
      </c>
      <c r="P7" s="6">
        <v>43643</v>
      </c>
      <c r="Q7" s="11">
        <v>12.746270000000001</v>
      </c>
      <c r="R7" s="11">
        <v>1.3322700000000001</v>
      </c>
      <c r="S7" s="11">
        <v>11.414</v>
      </c>
      <c r="T7" s="7">
        <v>96</v>
      </c>
      <c r="U7" s="6">
        <v>43647</v>
      </c>
      <c r="V7" s="7">
        <v>9740377357</v>
      </c>
      <c r="W7" s="10" t="s">
        <v>57</v>
      </c>
      <c r="X7" s="7" t="s">
        <v>58</v>
      </c>
      <c r="Y7" s="10" t="s">
        <v>59</v>
      </c>
      <c r="Z7" s="7" t="s">
        <v>38</v>
      </c>
      <c r="AA7" s="10" t="s">
        <v>39</v>
      </c>
      <c r="AB7" s="11">
        <f t="shared" si="0"/>
        <v>0.12746270000000001</v>
      </c>
    </row>
    <row r="8" spans="1:28" x14ac:dyDescent="0.35">
      <c r="A8" s="4">
        <v>5563</v>
      </c>
      <c r="B8" s="5" t="s">
        <v>54</v>
      </c>
      <c r="C8" s="6">
        <v>43647</v>
      </c>
      <c r="D8" s="7">
        <v>180</v>
      </c>
      <c r="E8" s="8" t="s">
        <v>40</v>
      </c>
      <c r="F8" s="7" t="s">
        <v>60</v>
      </c>
      <c r="G8" s="10" t="s">
        <v>61</v>
      </c>
      <c r="H8" s="7" t="str">
        <f>"000145"</f>
        <v>000145</v>
      </c>
      <c r="I8" s="6">
        <v>43129</v>
      </c>
      <c r="J8" s="7" t="str">
        <f>"000113"</f>
        <v>000113</v>
      </c>
      <c r="K8" s="6">
        <v>43161</v>
      </c>
      <c r="L8" s="7" t="str">
        <f>"000111"</f>
        <v>000111</v>
      </c>
      <c r="M8" s="6">
        <v>43161</v>
      </c>
      <c r="N8" s="7">
        <v>17</v>
      </c>
      <c r="O8" s="7" t="str">
        <f>"003065"</f>
        <v>003065</v>
      </c>
      <c r="P8" s="6">
        <v>43640</v>
      </c>
      <c r="Q8" s="11">
        <v>13.6313</v>
      </c>
      <c r="R8" s="11">
        <v>0.69520000000000004</v>
      </c>
      <c r="S8" s="11">
        <v>12.9361</v>
      </c>
      <c r="T8" s="7">
        <v>100</v>
      </c>
      <c r="U8" s="6">
        <v>43647</v>
      </c>
      <c r="V8" s="7">
        <v>9448084879</v>
      </c>
      <c r="W8" s="10" t="s">
        <v>62</v>
      </c>
      <c r="X8" s="7" t="s">
        <v>58</v>
      </c>
      <c r="Y8" s="10" t="s">
        <v>59</v>
      </c>
      <c r="Z8" s="7" t="s">
        <v>63</v>
      </c>
      <c r="AA8" s="10" t="s">
        <v>64</v>
      </c>
      <c r="AB8" s="11">
        <f t="shared" si="0"/>
        <v>0.13631299999999999</v>
      </c>
    </row>
    <row r="9" spans="1:28" x14ac:dyDescent="0.35">
      <c r="A9" s="4">
        <v>5564</v>
      </c>
      <c r="B9" s="5" t="s">
        <v>54</v>
      </c>
      <c r="C9" s="6">
        <v>43658</v>
      </c>
      <c r="D9" s="7">
        <v>180</v>
      </c>
      <c r="E9" s="8" t="s">
        <v>40</v>
      </c>
      <c r="F9" s="7" t="s">
        <v>65</v>
      </c>
      <c r="G9" s="10" t="s">
        <v>66</v>
      </c>
      <c r="H9" s="7" t="str">
        <f>"000170"</f>
        <v>000170</v>
      </c>
      <c r="I9" s="6">
        <v>43500</v>
      </c>
      <c r="J9" s="7" t="str">
        <f>"000019"</f>
        <v>000019</v>
      </c>
      <c r="K9" s="6">
        <v>43615</v>
      </c>
      <c r="L9" s="7" t="str">
        <f>"000050"</f>
        <v>000050</v>
      </c>
      <c r="M9" s="6">
        <v>43615</v>
      </c>
      <c r="N9" s="7">
        <v>19</v>
      </c>
      <c r="O9" s="7" t="str">
        <f>"003298"</f>
        <v>003298</v>
      </c>
      <c r="P9" s="6">
        <v>43650</v>
      </c>
      <c r="Q9" s="11">
        <v>24.532720000000001</v>
      </c>
      <c r="R9" s="11">
        <v>2.8557199999999998</v>
      </c>
      <c r="S9" s="11">
        <v>21.677</v>
      </c>
      <c r="T9" s="7">
        <v>112</v>
      </c>
      <c r="U9" s="6">
        <v>43658</v>
      </c>
      <c r="V9" s="7">
        <v>9986697126</v>
      </c>
      <c r="W9" s="10" t="s">
        <v>49</v>
      </c>
      <c r="X9" s="7" t="s">
        <v>67</v>
      </c>
      <c r="Y9" s="10" t="s">
        <v>68</v>
      </c>
      <c r="Z9" s="7" t="s">
        <v>38</v>
      </c>
      <c r="AA9" s="10" t="s">
        <v>39</v>
      </c>
      <c r="AB9" s="11">
        <f t="shared" si="0"/>
        <v>0.24532720000000002</v>
      </c>
    </row>
    <row r="10" spans="1:28" x14ac:dyDescent="0.35">
      <c r="A10" s="4">
        <v>5565</v>
      </c>
      <c r="B10" s="5" t="s">
        <v>54</v>
      </c>
      <c r="C10" s="6">
        <v>43658</v>
      </c>
      <c r="D10" s="7">
        <v>180</v>
      </c>
      <c r="E10" s="8" t="s">
        <v>40</v>
      </c>
      <c r="F10" s="7" t="s">
        <v>69</v>
      </c>
      <c r="G10" s="10" t="s">
        <v>70</v>
      </c>
      <c r="H10" s="7" t="str">
        <f>"000171"</f>
        <v>000171</v>
      </c>
      <c r="I10" s="6">
        <v>43500</v>
      </c>
      <c r="J10" s="7" t="str">
        <f>"000020"</f>
        <v>000020</v>
      </c>
      <c r="K10" s="6">
        <v>43615</v>
      </c>
      <c r="L10" s="7" t="str">
        <f>"000051"</f>
        <v>000051</v>
      </c>
      <c r="M10" s="6">
        <v>43615</v>
      </c>
      <c r="N10" s="7">
        <v>19</v>
      </c>
      <c r="O10" s="7" t="str">
        <f>"003299"</f>
        <v>003299</v>
      </c>
      <c r="P10" s="6">
        <v>43650</v>
      </c>
      <c r="Q10" s="11">
        <v>24.511289999999999</v>
      </c>
      <c r="R10" s="11">
        <v>2.77129</v>
      </c>
      <c r="S10" s="11">
        <v>21.74</v>
      </c>
      <c r="T10" s="7">
        <v>112</v>
      </c>
      <c r="U10" s="6">
        <v>43658</v>
      </c>
      <c r="V10" s="7">
        <v>9986697126</v>
      </c>
      <c r="W10" s="10" t="s">
        <v>49</v>
      </c>
      <c r="X10" s="7" t="s">
        <v>67</v>
      </c>
      <c r="Y10" s="10" t="s">
        <v>68</v>
      </c>
      <c r="Z10" s="7" t="s">
        <v>38</v>
      </c>
      <c r="AA10" s="10" t="s">
        <v>39</v>
      </c>
      <c r="AB10" s="11">
        <f t="shared" si="0"/>
        <v>0.24511289999999999</v>
      </c>
    </row>
    <row r="11" spans="1:28" x14ac:dyDescent="0.35">
      <c r="A11" s="4">
        <v>5566</v>
      </c>
      <c r="B11" s="5" t="s">
        <v>54</v>
      </c>
      <c r="C11" s="6">
        <v>43658</v>
      </c>
      <c r="D11" s="7">
        <v>180</v>
      </c>
      <c r="E11" s="8" t="s">
        <v>40</v>
      </c>
      <c r="F11" s="7" t="s">
        <v>71</v>
      </c>
      <c r="G11" s="10" t="s">
        <v>72</v>
      </c>
      <c r="H11" s="7" t="str">
        <f>"000172"</f>
        <v>000172</v>
      </c>
      <c r="I11" s="6">
        <v>43500</v>
      </c>
      <c r="J11" s="7" t="str">
        <f>"000021"</f>
        <v>000021</v>
      </c>
      <c r="K11" s="6">
        <v>43615</v>
      </c>
      <c r="L11" s="7" t="str">
        <f>"000052"</f>
        <v>000052</v>
      </c>
      <c r="M11" s="6">
        <v>43615</v>
      </c>
      <c r="N11" s="7">
        <v>19</v>
      </c>
      <c r="O11" s="7" t="str">
        <f>"003300"</f>
        <v>003300</v>
      </c>
      <c r="P11" s="6">
        <v>43650</v>
      </c>
      <c r="Q11" s="11">
        <v>24.498239999999999</v>
      </c>
      <c r="R11" s="11">
        <v>2.8142399999999999</v>
      </c>
      <c r="S11" s="11">
        <v>21.684000000000001</v>
      </c>
      <c r="T11" s="7">
        <v>112</v>
      </c>
      <c r="U11" s="6">
        <v>43658</v>
      </c>
      <c r="V11" s="7">
        <v>9986697126</v>
      </c>
      <c r="W11" s="10" t="s">
        <v>49</v>
      </c>
      <c r="X11" s="7" t="s">
        <v>67</v>
      </c>
      <c r="Y11" s="10" t="s">
        <v>68</v>
      </c>
      <c r="Z11" s="7" t="s">
        <v>38</v>
      </c>
      <c r="AA11" s="10" t="s">
        <v>39</v>
      </c>
      <c r="AB11" s="11">
        <f t="shared" si="0"/>
        <v>0.24498239999999999</v>
      </c>
    </row>
    <row r="12" spans="1:28" x14ac:dyDescent="0.35">
      <c r="A12" s="4">
        <v>5567</v>
      </c>
      <c r="B12" s="5" t="s">
        <v>54</v>
      </c>
      <c r="C12" s="6">
        <v>43664</v>
      </c>
      <c r="D12" s="7">
        <v>180</v>
      </c>
      <c r="E12" s="8" t="s">
        <v>40</v>
      </c>
      <c r="F12" s="7" t="s">
        <v>73</v>
      </c>
      <c r="G12" s="10" t="s">
        <v>74</v>
      </c>
      <c r="H12" s="7" t="str">
        <f>"000172"</f>
        <v>000172</v>
      </c>
      <c r="I12" s="6">
        <v>41303</v>
      </c>
      <c r="J12" s="7" t="str">
        <f>"000001"</f>
        <v>000001</v>
      </c>
      <c r="K12" s="6">
        <v>43581</v>
      </c>
      <c r="L12" s="7" t="str">
        <f>"000002"</f>
        <v>000002</v>
      </c>
      <c r="M12" s="6">
        <v>43581</v>
      </c>
      <c r="N12" s="7">
        <v>14</v>
      </c>
      <c r="O12" s="7" t="str">
        <f>""</f>
        <v/>
      </c>
      <c r="P12" s="7"/>
      <c r="Q12" s="11">
        <v>26.370090000000001</v>
      </c>
      <c r="R12" s="11">
        <v>3.3226300000000002</v>
      </c>
      <c r="S12" s="11">
        <v>23.047460000000001</v>
      </c>
      <c r="T12" s="7">
        <v>116</v>
      </c>
      <c r="U12" s="6">
        <v>43664</v>
      </c>
      <c r="V12" s="7">
        <v>0</v>
      </c>
      <c r="W12" s="10" t="s">
        <v>75</v>
      </c>
      <c r="X12" s="7" t="s">
        <v>76</v>
      </c>
      <c r="Y12" s="10" t="s">
        <v>77</v>
      </c>
      <c r="Z12" s="7" t="s">
        <v>63</v>
      </c>
      <c r="AA12" s="10" t="s">
        <v>64</v>
      </c>
      <c r="AB12" s="11">
        <f t="shared" si="0"/>
        <v>0.26370090000000002</v>
      </c>
    </row>
    <row r="13" spans="1:28" x14ac:dyDescent="0.35">
      <c r="A13" s="4">
        <v>5568</v>
      </c>
      <c r="B13" s="5" t="s">
        <v>54</v>
      </c>
      <c r="C13" s="6">
        <v>43671</v>
      </c>
      <c r="D13" s="7">
        <v>180</v>
      </c>
      <c r="E13" s="8" t="s">
        <v>40</v>
      </c>
      <c r="F13" s="7" t="s">
        <v>78</v>
      </c>
      <c r="G13" s="10" t="s">
        <v>79</v>
      </c>
      <c r="H13" s="7" t="str">
        <f>"000105"</f>
        <v>000105</v>
      </c>
      <c r="I13" s="6">
        <v>42803</v>
      </c>
      <c r="J13" s="7" t="str">
        <f>"000044"</f>
        <v>000044</v>
      </c>
      <c r="K13" s="6">
        <v>43147</v>
      </c>
      <c r="L13" s="7" t="str">
        <f>"000106"</f>
        <v>000106</v>
      </c>
      <c r="M13" s="6">
        <v>43158</v>
      </c>
      <c r="N13" s="7">
        <v>17</v>
      </c>
      <c r="O13" s="7" t="str">
        <f>"003886"</f>
        <v>003886</v>
      </c>
      <c r="P13" s="6">
        <v>43669</v>
      </c>
      <c r="Q13" s="11">
        <v>18.123390000000001</v>
      </c>
      <c r="R13" s="11">
        <v>1.88839</v>
      </c>
      <c r="S13" s="11">
        <v>16.234999999999999</v>
      </c>
      <c r="T13" s="7">
        <v>125</v>
      </c>
      <c r="U13" s="6">
        <v>43671</v>
      </c>
      <c r="V13" s="7">
        <v>9901698462</v>
      </c>
      <c r="W13" s="10" t="s">
        <v>80</v>
      </c>
      <c r="X13" s="7" t="s">
        <v>29</v>
      </c>
      <c r="Y13" s="10" t="s">
        <v>30</v>
      </c>
      <c r="Z13" s="7" t="s">
        <v>38</v>
      </c>
      <c r="AA13" s="10" t="s">
        <v>39</v>
      </c>
      <c r="AB13" s="11">
        <f t="shared" si="0"/>
        <v>0.1812339</v>
      </c>
    </row>
    <row r="14" spans="1:28" x14ac:dyDescent="0.35">
      <c r="A14" s="4">
        <v>5569</v>
      </c>
      <c r="B14" s="5" t="s">
        <v>54</v>
      </c>
      <c r="C14" s="6">
        <v>43671</v>
      </c>
      <c r="D14" s="7">
        <v>180</v>
      </c>
      <c r="E14" s="8" t="s">
        <v>40</v>
      </c>
      <c r="F14" s="7" t="s">
        <v>81</v>
      </c>
      <c r="G14" s="10" t="s">
        <v>82</v>
      </c>
      <c r="H14" s="7" t="str">
        <f>"000125"</f>
        <v>000125</v>
      </c>
      <c r="I14" s="6">
        <v>42825</v>
      </c>
      <c r="J14" s="7" t="str">
        <f>"000045"</f>
        <v>000045</v>
      </c>
      <c r="K14" s="6">
        <v>43147</v>
      </c>
      <c r="L14" s="7" t="str">
        <f>"000107"</f>
        <v>000107</v>
      </c>
      <c r="M14" s="6">
        <v>43158</v>
      </c>
      <c r="N14" s="7">
        <v>17</v>
      </c>
      <c r="O14" s="7" t="str">
        <f>"003887"</f>
        <v>003887</v>
      </c>
      <c r="P14" s="6">
        <v>43669</v>
      </c>
      <c r="Q14" s="11">
        <v>17.853480000000001</v>
      </c>
      <c r="R14" s="11">
        <v>1.9014800000000001</v>
      </c>
      <c r="S14" s="11">
        <v>15.952</v>
      </c>
      <c r="T14" s="7">
        <v>125</v>
      </c>
      <c r="U14" s="6">
        <v>43671</v>
      </c>
      <c r="V14" s="7">
        <v>9901698462</v>
      </c>
      <c r="W14" s="10" t="s">
        <v>80</v>
      </c>
      <c r="X14" s="7" t="s">
        <v>29</v>
      </c>
      <c r="Y14" s="10" t="s">
        <v>30</v>
      </c>
      <c r="Z14" s="7" t="s">
        <v>38</v>
      </c>
      <c r="AA14" s="10" t="s">
        <v>39</v>
      </c>
      <c r="AB14" s="11">
        <f t="shared" si="0"/>
        <v>0.17853480000000002</v>
      </c>
    </row>
    <row r="15" spans="1:28" x14ac:dyDescent="0.35">
      <c r="A15" s="4">
        <v>5570</v>
      </c>
      <c r="B15" s="5" t="s">
        <v>54</v>
      </c>
      <c r="C15" s="6">
        <v>43671</v>
      </c>
      <c r="D15" s="7">
        <v>180</v>
      </c>
      <c r="E15" s="8" t="s">
        <v>40</v>
      </c>
      <c r="F15" s="7" t="s">
        <v>83</v>
      </c>
      <c r="G15" s="10" t="s">
        <v>84</v>
      </c>
      <c r="H15" s="7" t="str">
        <f>"000128"</f>
        <v>000128</v>
      </c>
      <c r="I15" s="6">
        <v>42825</v>
      </c>
      <c r="J15" s="7" t="str">
        <f>"000046"</f>
        <v>000046</v>
      </c>
      <c r="K15" s="6">
        <v>43147</v>
      </c>
      <c r="L15" s="7" t="str">
        <f>"000108"</f>
        <v>000108</v>
      </c>
      <c r="M15" s="6">
        <v>43158</v>
      </c>
      <c r="N15" s="7">
        <v>17</v>
      </c>
      <c r="O15" s="7" t="str">
        <f>"003889"</f>
        <v>003889</v>
      </c>
      <c r="P15" s="6">
        <v>43669</v>
      </c>
      <c r="Q15" s="11">
        <v>18.39845</v>
      </c>
      <c r="R15" s="11">
        <v>1.9114500000000001</v>
      </c>
      <c r="S15" s="11">
        <v>16.486999999999998</v>
      </c>
      <c r="T15" s="7">
        <v>125</v>
      </c>
      <c r="U15" s="6">
        <v>43671</v>
      </c>
      <c r="V15" s="7">
        <v>9901698462</v>
      </c>
      <c r="W15" s="10" t="s">
        <v>80</v>
      </c>
      <c r="X15" s="7" t="s">
        <v>29</v>
      </c>
      <c r="Y15" s="10" t="s">
        <v>30</v>
      </c>
      <c r="Z15" s="7" t="s">
        <v>38</v>
      </c>
      <c r="AA15" s="10" t="s">
        <v>39</v>
      </c>
      <c r="AB15" s="11">
        <f t="shared" si="0"/>
        <v>0.1839845</v>
      </c>
    </row>
    <row r="16" spans="1:28" x14ac:dyDescent="0.35">
      <c r="A16" s="4">
        <v>5571</v>
      </c>
      <c r="B16" s="5" t="s">
        <v>54</v>
      </c>
      <c r="C16" s="6">
        <v>43671</v>
      </c>
      <c r="D16" s="7">
        <v>180</v>
      </c>
      <c r="E16" s="8" t="s">
        <v>40</v>
      </c>
      <c r="F16" s="7" t="s">
        <v>85</v>
      </c>
      <c r="G16" s="10" t="s">
        <v>86</v>
      </c>
      <c r="H16" s="7" t="str">
        <f>"000104"</f>
        <v>000104</v>
      </c>
      <c r="I16" s="6">
        <v>42803</v>
      </c>
      <c r="J16" s="7" t="str">
        <f>"000047"</f>
        <v>000047</v>
      </c>
      <c r="K16" s="6">
        <v>43147</v>
      </c>
      <c r="L16" s="7" t="str">
        <f>"000109"</f>
        <v>000109</v>
      </c>
      <c r="M16" s="6">
        <v>43158</v>
      </c>
      <c r="N16" s="7">
        <v>17</v>
      </c>
      <c r="O16" s="7" t="str">
        <f>"003890"</f>
        <v>003890</v>
      </c>
      <c r="P16" s="6">
        <v>43669</v>
      </c>
      <c r="Q16" s="11">
        <v>17.89432</v>
      </c>
      <c r="R16" s="11">
        <v>1.94432</v>
      </c>
      <c r="S16" s="11">
        <v>15.95</v>
      </c>
      <c r="T16" s="7">
        <v>125</v>
      </c>
      <c r="U16" s="6">
        <v>43671</v>
      </c>
      <c r="V16" s="7">
        <v>9901698462</v>
      </c>
      <c r="W16" s="10" t="s">
        <v>80</v>
      </c>
      <c r="X16" s="7" t="s">
        <v>29</v>
      </c>
      <c r="Y16" s="10" t="s">
        <v>30</v>
      </c>
      <c r="Z16" s="7" t="s">
        <v>38</v>
      </c>
      <c r="AA16" s="10" t="s">
        <v>39</v>
      </c>
      <c r="AB16" s="11">
        <f t="shared" si="0"/>
        <v>0.1789432</v>
      </c>
    </row>
    <row r="17" spans="1:28" x14ac:dyDescent="0.35">
      <c r="A17" s="4">
        <v>5572</v>
      </c>
      <c r="B17" s="5" t="s">
        <v>54</v>
      </c>
      <c r="C17" s="6">
        <v>43671</v>
      </c>
      <c r="D17" s="7">
        <v>180</v>
      </c>
      <c r="E17" s="8" t="s">
        <v>40</v>
      </c>
      <c r="F17" s="7" t="s">
        <v>87</v>
      </c>
      <c r="G17" s="10" t="s">
        <v>88</v>
      </c>
      <c r="H17" s="7" t="str">
        <f>"000129"</f>
        <v>000129</v>
      </c>
      <c r="I17" s="6">
        <v>42825</v>
      </c>
      <c r="J17" s="7" t="str">
        <f>"000048"</f>
        <v>000048</v>
      </c>
      <c r="K17" s="6">
        <v>43147</v>
      </c>
      <c r="L17" s="7" t="str">
        <f>"000110"</f>
        <v>000110</v>
      </c>
      <c r="M17" s="6">
        <v>43158</v>
      </c>
      <c r="N17" s="7">
        <v>17</v>
      </c>
      <c r="O17" s="7" t="str">
        <f>"003891"</f>
        <v>003891</v>
      </c>
      <c r="P17" s="6">
        <v>43669</v>
      </c>
      <c r="Q17" s="11">
        <v>18.07544</v>
      </c>
      <c r="R17" s="11">
        <v>1.89944</v>
      </c>
      <c r="S17" s="11">
        <v>16.175999999999998</v>
      </c>
      <c r="T17" s="7">
        <v>125</v>
      </c>
      <c r="U17" s="6">
        <v>43671</v>
      </c>
      <c r="V17" s="7">
        <v>9901698462</v>
      </c>
      <c r="W17" s="10" t="s">
        <v>80</v>
      </c>
      <c r="X17" s="7" t="s">
        <v>29</v>
      </c>
      <c r="Y17" s="10" t="s">
        <v>30</v>
      </c>
      <c r="Z17" s="7" t="s">
        <v>38</v>
      </c>
      <c r="AA17" s="10" t="s">
        <v>39</v>
      </c>
      <c r="AB17" s="11">
        <f t="shared" si="0"/>
        <v>0.18075440000000001</v>
      </c>
    </row>
    <row r="18" spans="1:28" x14ac:dyDescent="0.35">
      <c r="A18" s="4">
        <v>5573</v>
      </c>
      <c r="B18" s="5" t="s">
        <v>54</v>
      </c>
      <c r="C18" s="6">
        <v>43671</v>
      </c>
      <c r="D18" s="7">
        <v>180</v>
      </c>
      <c r="E18" s="8" t="s">
        <v>40</v>
      </c>
      <c r="F18" s="7" t="s">
        <v>89</v>
      </c>
      <c r="G18" s="10" t="s">
        <v>90</v>
      </c>
      <c r="H18" s="7" t="str">
        <f>"000130"</f>
        <v>000130</v>
      </c>
      <c r="I18" s="6">
        <v>42825</v>
      </c>
      <c r="J18" s="7" t="str">
        <f>"000049"</f>
        <v>000049</v>
      </c>
      <c r="K18" s="6">
        <v>43147</v>
      </c>
      <c r="L18" s="7" t="str">
        <f>"000111"</f>
        <v>000111</v>
      </c>
      <c r="M18" s="6">
        <v>43158</v>
      </c>
      <c r="N18" s="7">
        <v>17</v>
      </c>
      <c r="O18" s="7" t="str">
        <f>"003892"</f>
        <v>003892</v>
      </c>
      <c r="P18" s="6">
        <v>43669</v>
      </c>
      <c r="Q18" s="11">
        <v>13.73753</v>
      </c>
      <c r="R18" s="11">
        <v>1.50153</v>
      </c>
      <c r="S18" s="11">
        <v>12.236000000000001</v>
      </c>
      <c r="T18" s="7">
        <v>125</v>
      </c>
      <c r="U18" s="6">
        <v>43671</v>
      </c>
      <c r="V18" s="7">
        <v>9901698462</v>
      </c>
      <c r="W18" s="10" t="s">
        <v>80</v>
      </c>
      <c r="X18" s="7" t="s">
        <v>29</v>
      </c>
      <c r="Y18" s="10" t="s">
        <v>30</v>
      </c>
      <c r="Z18" s="7" t="s">
        <v>38</v>
      </c>
      <c r="AA18" s="10" t="s">
        <v>39</v>
      </c>
      <c r="AB18" s="11">
        <f t="shared" si="0"/>
        <v>0.13737530000000001</v>
      </c>
    </row>
    <row r="19" spans="1:28" x14ac:dyDescent="0.35">
      <c r="A19" s="4">
        <v>5574</v>
      </c>
      <c r="B19" s="5" t="s">
        <v>54</v>
      </c>
      <c r="C19" s="6">
        <v>43671</v>
      </c>
      <c r="D19" s="7">
        <v>180</v>
      </c>
      <c r="E19" s="8" t="s">
        <v>40</v>
      </c>
      <c r="F19" s="7" t="s">
        <v>91</v>
      </c>
      <c r="G19" s="10" t="s">
        <v>92</v>
      </c>
      <c r="H19" s="7" t="str">
        <f>"000039"</f>
        <v>000039</v>
      </c>
      <c r="I19" s="6">
        <v>42881</v>
      </c>
      <c r="J19" s="7" t="str">
        <f>"000050"</f>
        <v>000050</v>
      </c>
      <c r="K19" s="6">
        <v>43147</v>
      </c>
      <c r="L19" s="7" t="str">
        <f>"000112"</f>
        <v>000112</v>
      </c>
      <c r="M19" s="6">
        <v>43158</v>
      </c>
      <c r="N19" s="7">
        <v>17</v>
      </c>
      <c r="O19" s="7" t="str">
        <f>"003893"</f>
        <v>003893</v>
      </c>
      <c r="P19" s="6">
        <v>43669</v>
      </c>
      <c r="Q19" s="11">
        <v>10.79114</v>
      </c>
      <c r="R19" s="11">
        <v>1.1971400000000001</v>
      </c>
      <c r="S19" s="11">
        <v>9.5939999999999994</v>
      </c>
      <c r="T19" s="7">
        <v>125</v>
      </c>
      <c r="U19" s="6">
        <v>43671</v>
      </c>
      <c r="V19" s="7">
        <v>9901698462</v>
      </c>
      <c r="W19" s="10" t="s">
        <v>80</v>
      </c>
      <c r="X19" s="7" t="s">
        <v>29</v>
      </c>
      <c r="Y19" s="10" t="s">
        <v>30</v>
      </c>
      <c r="Z19" s="7" t="s">
        <v>38</v>
      </c>
      <c r="AA19" s="10" t="s">
        <v>39</v>
      </c>
      <c r="AB19" s="11">
        <f t="shared" si="0"/>
        <v>0.1079114</v>
      </c>
    </row>
    <row r="20" spans="1:28" x14ac:dyDescent="0.35">
      <c r="A20" s="4">
        <v>5575</v>
      </c>
      <c r="B20" s="5" t="s">
        <v>54</v>
      </c>
      <c r="C20" s="6">
        <v>43672</v>
      </c>
      <c r="D20" s="7">
        <v>180</v>
      </c>
      <c r="E20" s="8" t="s">
        <v>40</v>
      </c>
      <c r="F20" s="7" t="s">
        <v>93</v>
      </c>
      <c r="G20" s="10" t="s">
        <v>94</v>
      </c>
      <c r="H20" s="7" t="str">
        <f>"000173"</f>
        <v>000173</v>
      </c>
      <c r="I20" s="6">
        <v>43500</v>
      </c>
      <c r="J20" s="7" t="str">
        <f>"000039"</f>
        <v>000039</v>
      </c>
      <c r="K20" s="6">
        <v>43641</v>
      </c>
      <c r="L20" s="7" t="str">
        <f>"000072"</f>
        <v>000072</v>
      </c>
      <c r="M20" s="6">
        <v>43643</v>
      </c>
      <c r="N20" s="7">
        <v>19</v>
      </c>
      <c r="O20" s="7" t="str">
        <f>"003836"</f>
        <v>003836</v>
      </c>
      <c r="P20" s="6">
        <v>43665</v>
      </c>
      <c r="Q20" s="11">
        <v>24.457989999999999</v>
      </c>
      <c r="R20" s="11">
        <v>2.7719900000000002</v>
      </c>
      <c r="S20" s="11">
        <v>21.686</v>
      </c>
      <c r="T20" s="7">
        <v>127</v>
      </c>
      <c r="U20" s="6">
        <v>43672</v>
      </c>
      <c r="V20" s="7">
        <v>9986697126</v>
      </c>
      <c r="W20" s="10" t="s">
        <v>49</v>
      </c>
      <c r="X20" s="7" t="s">
        <v>67</v>
      </c>
      <c r="Y20" s="10" t="s">
        <v>68</v>
      </c>
      <c r="Z20" s="7" t="s">
        <v>38</v>
      </c>
      <c r="AA20" s="10" t="s">
        <v>39</v>
      </c>
      <c r="AB20" s="11">
        <f t="shared" si="0"/>
        <v>0.24457989999999999</v>
      </c>
    </row>
    <row r="21" spans="1:28" x14ac:dyDescent="0.35">
      <c r="A21" s="4">
        <v>5576</v>
      </c>
      <c r="B21" s="5" t="s">
        <v>54</v>
      </c>
      <c r="C21" s="6">
        <v>43677</v>
      </c>
      <c r="D21" s="7">
        <v>180</v>
      </c>
      <c r="E21" s="8" t="s">
        <v>40</v>
      </c>
      <c r="F21" s="7" t="s">
        <v>95</v>
      </c>
      <c r="G21" s="10" t="s">
        <v>96</v>
      </c>
      <c r="H21" s="7" t="str">
        <f>"000014"</f>
        <v>000014</v>
      </c>
      <c r="I21" s="6">
        <v>41834</v>
      </c>
      <c r="J21" s="7" t="str">
        <f>"000053"</f>
        <v>000053</v>
      </c>
      <c r="K21" s="6">
        <v>43157</v>
      </c>
      <c r="L21" s="7" t="str">
        <f>"000124"</f>
        <v>000124</v>
      </c>
      <c r="M21" s="6">
        <v>43159</v>
      </c>
      <c r="N21" s="7">
        <v>14</v>
      </c>
      <c r="O21" s="7" t="str">
        <f>"003990"</f>
        <v>003990</v>
      </c>
      <c r="P21" s="6">
        <v>43671</v>
      </c>
      <c r="Q21" s="11">
        <v>97.10575</v>
      </c>
      <c r="R21" s="11">
        <v>13.255750000000001</v>
      </c>
      <c r="S21" s="11">
        <v>83.85</v>
      </c>
      <c r="T21" s="7">
        <v>135</v>
      </c>
      <c r="U21" s="6">
        <v>43677</v>
      </c>
      <c r="V21" s="7">
        <v>9986697126</v>
      </c>
      <c r="W21" s="10" t="s">
        <v>97</v>
      </c>
      <c r="X21" s="7" t="s">
        <v>98</v>
      </c>
      <c r="Y21" s="10" t="s">
        <v>99</v>
      </c>
      <c r="Z21" s="7" t="s">
        <v>38</v>
      </c>
      <c r="AA21" s="10" t="s">
        <v>39</v>
      </c>
      <c r="AB21" s="11">
        <f t="shared" si="0"/>
        <v>0.97105750000000002</v>
      </c>
    </row>
    <row r="22" spans="1:28" x14ac:dyDescent="0.35">
      <c r="A22" s="4">
        <v>5577</v>
      </c>
      <c r="B22" s="5" t="s">
        <v>54</v>
      </c>
      <c r="C22" s="6">
        <v>43677</v>
      </c>
      <c r="D22" s="7">
        <v>180</v>
      </c>
      <c r="E22" s="8" t="s">
        <v>40</v>
      </c>
      <c r="F22" s="7" t="s">
        <v>100</v>
      </c>
      <c r="G22" s="10" t="s">
        <v>101</v>
      </c>
      <c r="H22" s="7" t="str">
        <f>"000015"</f>
        <v>000015</v>
      </c>
      <c r="I22" s="6">
        <v>41834</v>
      </c>
      <c r="J22" s="7" t="str">
        <f>"000054"</f>
        <v>000054</v>
      </c>
      <c r="K22" s="6">
        <v>43157</v>
      </c>
      <c r="L22" s="7" t="str">
        <f>"000125"</f>
        <v>000125</v>
      </c>
      <c r="M22" s="6">
        <v>43159</v>
      </c>
      <c r="N22" s="7">
        <v>14</v>
      </c>
      <c r="O22" s="7" t="str">
        <f>"003991"</f>
        <v>003991</v>
      </c>
      <c r="P22" s="6">
        <v>43671</v>
      </c>
      <c r="Q22" s="11">
        <v>97.698419999999999</v>
      </c>
      <c r="R22" s="11">
        <v>13.258419999999999</v>
      </c>
      <c r="S22" s="11">
        <v>84.44</v>
      </c>
      <c r="T22" s="7">
        <v>135</v>
      </c>
      <c r="U22" s="6">
        <v>43677</v>
      </c>
      <c r="V22" s="7">
        <v>9986697126</v>
      </c>
      <c r="W22" s="10" t="s">
        <v>97</v>
      </c>
      <c r="X22" s="7" t="s">
        <v>102</v>
      </c>
      <c r="Y22" s="10" t="s">
        <v>103</v>
      </c>
      <c r="Z22" s="7" t="s">
        <v>38</v>
      </c>
      <c r="AA22" s="10" t="s">
        <v>39</v>
      </c>
      <c r="AB22" s="11">
        <f t="shared" si="0"/>
        <v>0.97698419999999997</v>
      </c>
    </row>
    <row r="23" spans="1:28" x14ac:dyDescent="0.35">
      <c r="A23" s="4">
        <v>5578</v>
      </c>
      <c r="B23" s="5" t="s">
        <v>104</v>
      </c>
      <c r="C23" s="6">
        <v>43714</v>
      </c>
      <c r="D23" s="7">
        <v>180</v>
      </c>
      <c r="E23" s="8" t="s">
        <v>40</v>
      </c>
      <c r="F23" s="7" t="s">
        <v>105</v>
      </c>
      <c r="G23" s="10" t="s">
        <v>106</v>
      </c>
      <c r="H23" s="7" t="str">
        <f>"000036"</f>
        <v>000036</v>
      </c>
      <c r="I23" s="6">
        <v>43301</v>
      </c>
      <c r="J23" s="7" t="str">
        <f>"000083"</f>
        <v>000083</v>
      </c>
      <c r="K23" s="6">
        <v>43726</v>
      </c>
      <c r="L23" s="7" t="str">
        <f>"000155"</f>
        <v>000155</v>
      </c>
      <c r="M23" s="6">
        <v>43728</v>
      </c>
      <c r="N23" s="7">
        <v>18</v>
      </c>
      <c r="O23" s="7" t="str">
        <f>""</f>
        <v/>
      </c>
      <c r="P23" s="7"/>
      <c r="Q23" s="11">
        <v>13.152010000000001</v>
      </c>
      <c r="R23" s="11">
        <v>1.5520099999999999</v>
      </c>
      <c r="S23" s="11">
        <v>11.6</v>
      </c>
      <c r="T23" s="7">
        <v>176</v>
      </c>
      <c r="U23" s="6">
        <v>43714</v>
      </c>
      <c r="V23" s="7">
        <v>9738515113</v>
      </c>
      <c r="W23" s="10" t="s">
        <v>107</v>
      </c>
      <c r="X23" s="7" t="s">
        <v>29</v>
      </c>
      <c r="Y23" s="10" t="s">
        <v>30</v>
      </c>
      <c r="Z23" s="7" t="s">
        <v>38</v>
      </c>
      <c r="AA23" s="10" t="s">
        <v>39</v>
      </c>
      <c r="AB23" s="11">
        <f t="shared" si="0"/>
        <v>0.1315201</v>
      </c>
    </row>
    <row r="24" spans="1:28" x14ac:dyDescent="0.35">
      <c r="A24" s="4">
        <v>5579</v>
      </c>
      <c r="B24" s="5" t="s">
        <v>104</v>
      </c>
      <c r="C24" s="6">
        <v>43714</v>
      </c>
      <c r="D24" s="7">
        <v>180</v>
      </c>
      <c r="E24" s="8" t="s">
        <v>40</v>
      </c>
      <c r="F24" s="7" t="s">
        <v>108</v>
      </c>
      <c r="G24" s="10" t="s">
        <v>109</v>
      </c>
      <c r="H24" s="7" t="str">
        <f>"000150"</f>
        <v>000150</v>
      </c>
      <c r="I24" s="6">
        <v>43494</v>
      </c>
      <c r="J24" s="7" t="str">
        <f>"000009"</f>
        <v>000009</v>
      </c>
      <c r="K24" s="6">
        <v>43584</v>
      </c>
      <c r="L24" s="7" t="str">
        <f>"000023"</f>
        <v>000023</v>
      </c>
      <c r="M24" s="6">
        <v>43585</v>
      </c>
      <c r="N24" s="7">
        <v>19</v>
      </c>
      <c r="O24" s="7" t="str">
        <f>"004856"</f>
        <v>004856</v>
      </c>
      <c r="P24" s="6">
        <v>43706</v>
      </c>
      <c r="Q24" s="11">
        <v>14.760210000000001</v>
      </c>
      <c r="R24" s="11">
        <v>1.49821</v>
      </c>
      <c r="S24" s="11">
        <v>13.262</v>
      </c>
      <c r="T24" s="7">
        <v>176</v>
      </c>
      <c r="U24" s="6">
        <v>43714</v>
      </c>
      <c r="V24" s="7">
        <v>9986697126</v>
      </c>
      <c r="W24" s="10" t="s">
        <v>49</v>
      </c>
      <c r="X24" s="7" t="s">
        <v>110</v>
      </c>
      <c r="Y24" s="10" t="s">
        <v>111</v>
      </c>
      <c r="Z24" s="7" t="s">
        <v>38</v>
      </c>
      <c r="AA24" s="10" t="s">
        <v>39</v>
      </c>
      <c r="AB24" s="11">
        <f t="shared" si="0"/>
        <v>0.14760210000000001</v>
      </c>
    </row>
    <row r="25" spans="1:28" x14ac:dyDescent="0.35">
      <c r="A25" s="4">
        <v>5580</v>
      </c>
      <c r="B25" s="5" t="s">
        <v>104</v>
      </c>
      <c r="C25" s="6">
        <v>43714</v>
      </c>
      <c r="D25" s="7">
        <v>180</v>
      </c>
      <c r="E25" s="8" t="s">
        <v>40</v>
      </c>
      <c r="F25" s="7" t="s">
        <v>112</v>
      </c>
      <c r="G25" s="10" t="s">
        <v>113</v>
      </c>
      <c r="H25" s="7" t="str">
        <f>"000220"</f>
        <v>000220</v>
      </c>
      <c r="I25" s="6">
        <v>43529</v>
      </c>
      <c r="J25" s="7" t="str">
        <f>"000007"</f>
        <v>000007</v>
      </c>
      <c r="K25" s="6">
        <v>43584</v>
      </c>
      <c r="L25" s="7" t="str">
        <f>"000021"</f>
        <v>000021</v>
      </c>
      <c r="M25" s="6">
        <v>43585</v>
      </c>
      <c r="N25" s="7">
        <v>19</v>
      </c>
      <c r="O25" s="7" t="str">
        <f>"004857"</f>
        <v>004857</v>
      </c>
      <c r="P25" s="6">
        <v>43706</v>
      </c>
      <c r="Q25" s="11">
        <v>9.4470299999999998</v>
      </c>
      <c r="R25" s="11">
        <v>1.0390299999999999</v>
      </c>
      <c r="S25" s="11">
        <v>8.4079999999999995</v>
      </c>
      <c r="T25" s="7">
        <v>176</v>
      </c>
      <c r="U25" s="6">
        <v>43714</v>
      </c>
      <c r="V25" s="7">
        <v>9986697126</v>
      </c>
      <c r="W25" s="10" t="s">
        <v>49</v>
      </c>
      <c r="X25" s="7" t="s">
        <v>114</v>
      </c>
      <c r="Y25" s="10" t="s">
        <v>115</v>
      </c>
      <c r="Z25" s="7" t="s">
        <v>38</v>
      </c>
      <c r="AA25" s="10" t="s">
        <v>39</v>
      </c>
      <c r="AB25" s="11">
        <f t="shared" si="0"/>
        <v>9.4470299999999993E-2</v>
      </c>
    </row>
    <row r="26" spans="1:28" x14ac:dyDescent="0.35">
      <c r="A26" s="4">
        <v>5581</v>
      </c>
      <c r="B26" s="5" t="s">
        <v>104</v>
      </c>
      <c r="C26" s="6">
        <v>43714</v>
      </c>
      <c r="D26" s="7">
        <v>180</v>
      </c>
      <c r="E26" s="8" t="s">
        <v>40</v>
      </c>
      <c r="F26" s="7" t="s">
        <v>116</v>
      </c>
      <c r="G26" s="10" t="s">
        <v>117</v>
      </c>
      <c r="H26" s="7" t="str">
        <f>"000217"</f>
        <v>000217</v>
      </c>
      <c r="I26" s="6">
        <v>43529</v>
      </c>
      <c r="J26" s="7" t="str">
        <f>"000008"</f>
        <v>000008</v>
      </c>
      <c r="K26" s="6">
        <v>43584</v>
      </c>
      <c r="L26" s="7" t="str">
        <f>"000022"</f>
        <v>000022</v>
      </c>
      <c r="M26" s="6">
        <v>43585</v>
      </c>
      <c r="N26" s="7">
        <v>19</v>
      </c>
      <c r="O26" s="7" t="str">
        <f>"004858"</f>
        <v>004858</v>
      </c>
      <c r="P26" s="6">
        <v>43706</v>
      </c>
      <c r="Q26" s="11">
        <v>4.9056100000000002</v>
      </c>
      <c r="R26" s="11">
        <v>0.54861000000000004</v>
      </c>
      <c r="S26" s="11">
        <v>4.3570000000000002</v>
      </c>
      <c r="T26" s="7">
        <v>176</v>
      </c>
      <c r="U26" s="6">
        <v>43714</v>
      </c>
      <c r="V26" s="7">
        <v>9986697126</v>
      </c>
      <c r="W26" s="10" t="s">
        <v>49</v>
      </c>
      <c r="X26" s="7" t="s">
        <v>114</v>
      </c>
      <c r="Y26" s="10" t="s">
        <v>115</v>
      </c>
      <c r="Z26" s="7" t="s">
        <v>38</v>
      </c>
      <c r="AA26" s="10" t="s">
        <v>39</v>
      </c>
      <c r="AB26" s="11">
        <f t="shared" si="0"/>
        <v>4.9056100000000005E-2</v>
      </c>
    </row>
    <row r="27" spans="1:28" x14ac:dyDescent="0.35">
      <c r="A27" s="4">
        <v>5582</v>
      </c>
      <c r="B27" s="5" t="s">
        <v>104</v>
      </c>
      <c r="C27" s="6">
        <v>43714</v>
      </c>
      <c r="D27" s="7">
        <v>180</v>
      </c>
      <c r="E27" s="8" t="s">
        <v>40</v>
      </c>
      <c r="F27" s="7" t="s">
        <v>118</v>
      </c>
      <c r="G27" s="10" t="s">
        <v>119</v>
      </c>
      <c r="H27" s="7" t="str">
        <f>"000214"</f>
        <v>000214</v>
      </c>
      <c r="I27" s="6">
        <v>43529</v>
      </c>
      <c r="J27" s="7" t="str">
        <f>"000025"</f>
        <v>000025</v>
      </c>
      <c r="K27" s="6">
        <v>43619</v>
      </c>
      <c r="L27" s="7" t="str">
        <f>"000057"</f>
        <v>000057</v>
      </c>
      <c r="M27" s="6">
        <v>43620</v>
      </c>
      <c r="N27" s="7">
        <v>19</v>
      </c>
      <c r="O27" s="7" t="str">
        <f>"004859"</f>
        <v>004859</v>
      </c>
      <c r="P27" s="6">
        <v>43706</v>
      </c>
      <c r="Q27" s="11">
        <v>4.8940900000000003</v>
      </c>
      <c r="R27" s="11">
        <v>0.52009000000000005</v>
      </c>
      <c r="S27" s="11">
        <v>4.3739999999999997</v>
      </c>
      <c r="T27" s="7">
        <v>176</v>
      </c>
      <c r="U27" s="6">
        <v>43714</v>
      </c>
      <c r="V27" s="7">
        <v>9986697126</v>
      </c>
      <c r="W27" s="10" t="s">
        <v>49</v>
      </c>
      <c r="X27" s="7" t="s">
        <v>114</v>
      </c>
      <c r="Y27" s="10" t="s">
        <v>115</v>
      </c>
      <c r="Z27" s="7" t="s">
        <v>38</v>
      </c>
      <c r="AA27" s="10" t="s">
        <v>39</v>
      </c>
      <c r="AB27" s="11">
        <f t="shared" si="0"/>
        <v>4.8940900000000002E-2</v>
      </c>
    </row>
    <row r="28" spans="1:28" x14ac:dyDescent="0.35">
      <c r="A28" s="4">
        <v>5583</v>
      </c>
      <c r="B28" s="5" t="s">
        <v>104</v>
      </c>
      <c r="C28" s="6">
        <v>43714</v>
      </c>
      <c r="D28" s="7">
        <v>180</v>
      </c>
      <c r="E28" s="8" t="s">
        <v>40</v>
      </c>
      <c r="F28" s="7" t="s">
        <v>120</v>
      </c>
      <c r="G28" s="10" t="s">
        <v>121</v>
      </c>
      <c r="H28" s="7" t="str">
        <f>"000216"</f>
        <v>000216</v>
      </c>
      <c r="I28" s="6">
        <v>43529</v>
      </c>
      <c r="J28" s="7" t="str">
        <f>"000027"</f>
        <v>000027</v>
      </c>
      <c r="K28" s="6">
        <v>43626</v>
      </c>
      <c r="L28" s="7" t="str">
        <f>"000059"</f>
        <v>000059</v>
      </c>
      <c r="M28" s="6">
        <v>43626</v>
      </c>
      <c r="N28" s="7">
        <v>19</v>
      </c>
      <c r="O28" s="7" t="str">
        <f>"004860"</f>
        <v>004860</v>
      </c>
      <c r="P28" s="6">
        <v>43706</v>
      </c>
      <c r="Q28" s="11">
        <v>4.9138500000000001</v>
      </c>
      <c r="R28" s="11">
        <v>0.52185000000000004</v>
      </c>
      <c r="S28" s="11">
        <v>4.3920000000000003</v>
      </c>
      <c r="T28" s="7">
        <v>176</v>
      </c>
      <c r="U28" s="6">
        <v>43714</v>
      </c>
      <c r="V28" s="7">
        <v>9986697126</v>
      </c>
      <c r="W28" s="10" t="s">
        <v>49</v>
      </c>
      <c r="X28" s="7" t="s">
        <v>114</v>
      </c>
      <c r="Y28" s="10" t="s">
        <v>115</v>
      </c>
      <c r="Z28" s="7" t="s">
        <v>38</v>
      </c>
      <c r="AA28" s="10" t="s">
        <v>39</v>
      </c>
      <c r="AB28" s="11">
        <f t="shared" si="0"/>
        <v>4.9138500000000002E-2</v>
      </c>
    </row>
    <row r="29" spans="1:28" x14ac:dyDescent="0.35">
      <c r="A29" s="4">
        <v>5584</v>
      </c>
      <c r="B29" s="5" t="s">
        <v>104</v>
      </c>
      <c r="C29" s="6">
        <v>43714</v>
      </c>
      <c r="D29" s="7">
        <v>180</v>
      </c>
      <c r="E29" s="8" t="s">
        <v>40</v>
      </c>
      <c r="F29" s="7" t="s">
        <v>122</v>
      </c>
      <c r="G29" s="10" t="s">
        <v>123</v>
      </c>
      <c r="H29" s="7" t="str">
        <f>"000218"</f>
        <v>000218</v>
      </c>
      <c r="I29" s="6">
        <v>43529</v>
      </c>
      <c r="J29" s="7" t="str">
        <f>"000041"</f>
        <v>000041</v>
      </c>
      <c r="K29" s="6">
        <v>43643</v>
      </c>
      <c r="L29" s="7" t="str">
        <f>"000074"</f>
        <v>000074</v>
      </c>
      <c r="M29" s="6">
        <v>43643</v>
      </c>
      <c r="N29" s="7">
        <v>19</v>
      </c>
      <c r="O29" s="7" t="str">
        <f>"004861"</f>
        <v>004861</v>
      </c>
      <c r="P29" s="6">
        <v>43706</v>
      </c>
      <c r="Q29" s="11">
        <v>4.9512700000000001</v>
      </c>
      <c r="R29" s="11">
        <v>0.52527000000000001</v>
      </c>
      <c r="S29" s="11">
        <v>4.4260000000000002</v>
      </c>
      <c r="T29" s="7">
        <v>176</v>
      </c>
      <c r="U29" s="6">
        <v>43714</v>
      </c>
      <c r="V29" s="7">
        <v>9986697126</v>
      </c>
      <c r="W29" s="10" t="s">
        <v>49</v>
      </c>
      <c r="X29" s="7" t="s">
        <v>114</v>
      </c>
      <c r="Y29" s="10" t="s">
        <v>115</v>
      </c>
      <c r="Z29" s="7" t="s">
        <v>38</v>
      </c>
      <c r="AA29" s="10" t="s">
        <v>39</v>
      </c>
      <c r="AB29" s="11">
        <f t="shared" si="0"/>
        <v>4.95127E-2</v>
      </c>
    </row>
    <row r="30" spans="1:28" x14ac:dyDescent="0.35">
      <c r="A30" s="4">
        <v>5585</v>
      </c>
      <c r="B30" s="5" t="s">
        <v>104</v>
      </c>
      <c r="C30" s="6">
        <v>43714</v>
      </c>
      <c r="D30" s="7">
        <v>180</v>
      </c>
      <c r="E30" s="8" t="s">
        <v>40</v>
      </c>
      <c r="F30" s="7" t="s">
        <v>124</v>
      </c>
      <c r="G30" s="10" t="s">
        <v>125</v>
      </c>
      <c r="H30" s="7" t="str">
        <f>"000221"</f>
        <v>000221</v>
      </c>
      <c r="I30" s="6">
        <v>43529</v>
      </c>
      <c r="J30" s="7" t="str">
        <f>"000042"</f>
        <v>000042</v>
      </c>
      <c r="K30" s="6">
        <v>43643</v>
      </c>
      <c r="L30" s="7" t="str">
        <f>"000075"</f>
        <v>000075</v>
      </c>
      <c r="M30" s="6">
        <v>43643</v>
      </c>
      <c r="N30" s="7">
        <v>19</v>
      </c>
      <c r="O30" s="7" t="str">
        <f>"004862"</f>
        <v>004862</v>
      </c>
      <c r="P30" s="6">
        <v>43706</v>
      </c>
      <c r="Q30" s="11">
        <v>4.89269</v>
      </c>
      <c r="R30" s="11">
        <v>0.51968999999999999</v>
      </c>
      <c r="S30" s="11">
        <v>4.3730000000000002</v>
      </c>
      <c r="T30" s="7">
        <v>176</v>
      </c>
      <c r="U30" s="6">
        <v>43714</v>
      </c>
      <c r="V30" s="7">
        <v>9986697126</v>
      </c>
      <c r="W30" s="10" t="s">
        <v>49</v>
      </c>
      <c r="X30" s="7" t="s">
        <v>114</v>
      </c>
      <c r="Y30" s="10" t="s">
        <v>115</v>
      </c>
      <c r="Z30" s="7" t="s">
        <v>38</v>
      </c>
      <c r="AA30" s="10" t="s">
        <v>39</v>
      </c>
      <c r="AB30" s="11">
        <f t="shared" si="0"/>
        <v>4.8926900000000002E-2</v>
      </c>
    </row>
    <row r="31" spans="1:28" x14ac:dyDescent="0.35">
      <c r="A31" s="4">
        <v>5586</v>
      </c>
      <c r="B31" s="5" t="s">
        <v>104</v>
      </c>
      <c r="C31" s="6">
        <v>43714</v>
      </c>
      <c r="D31" s="7">
        <v>180</v>
      </c>
      <c r="E31" s="8" t="s">
        <v>40</v>
      </c>
      <c r="F31" s="7" t="s">
        <v>126</v>
      </c>
      <c r="G31" s="10" t="s">
        <v>127</v>
      </c>
      <c r="H31" s="7" t="str">
        <f>"000222"</f>
        <v>000222</v>
      </c>
      <c r="I31" s="6">
        <v>43529</v>
      </c>
      <c r="J31" s="7" t="str">
        <f>"000043"</f>
        <v>000043</v>
      </c>
      <c r="K31" s="6">
        <v>43643</v>
      </c>
      <c r="L31" s="7" t="str">
        <f>"000076"</f>
        <v>000076</v>
      </c>
      <c r="M31" s="6">
        <v>43643</v>
      </c>
      <c r="N31" s="7">
        <v>19</v>
      </c>
      <c r="O31" s="7" t="str">
        <f>"004863"</f>
        <v>004863</v>
      </c>
      <c r="P31" s="6">
        <v>43706</v>
      </c>
      <c r="Q31" s="11">
        <v>4.8861999999999997</v>
      </c>
      <c r="R31" s="11">
        <v>0.51919999999999999</v>
      </c>
      <c r="S31" s="11">
        <v>4.367</v>
      </c>
      <c r="T31" s="7">
        <v>176</v>
      </c>
      <c r="U31" s="6">
        <v>43714</v>
      </c>
      <c r="V31" s="7">
        <v>9986697126</v>
      </c>
      <c r="W31" s="10" t="s">
        <v>49</v>
      </c>
      <c r="X31" s="7" t="s">
        <v>114</v>
      </c>
      <c r="Y31" s="10" t="s">
        <v>115</v>
      </c>
      <c r="Z31" s="7" t="s">
        <v>38</v>
      </c>
      <c r="AA31" s="10" t="s">
        <v>39</v>
      </c>
      <c r="AB31" s="11">
        <f t="shared" si="0"/>
        <v>4.8861999999999996E-2</v>
      </c>
    </row>
    <row r="32" spans="1:28" x14ac:dyDescent="0.35">
      <c r="A32" s="4">
        <v>5587</v>
      </c>
      <c r="B32" s="5" t="s">
        <v>104</v>
      </c>
      <c r="C32" s="6">
        <v>43714</v>
      </c>
      <c r="D32" s="7">
        <v>180</v>
      </c>
      <c r="E32" s="8" t="s">
        <v>40</v>
      </c>
      <c r="F32" s="7" t="s">
        <v>128</v>
      </c>
      <c r="G32" s="10" t="s">
        <v>129</v>
      </c>
      <c r="H32" s="7" t="str">
        <f>"000213"</f>
        <v>000213</v>
      </c>
      <c r="I32" s="6">
        <v>43529</v>
      </c>
      <c r="J32" s="7" t="str">
        <f>"000050"</f>
        <v>000050</v>
      </c>
      <c r="K32" s="6">
        <v>43661</v>
      </c>
      <c r="L32" s="7" t="str">
        <f>"000093"</f>
        <v>000093</v>
      </c>
      <c r="M32" s="6">
        <v>43661</v>
      </c>
      <c r="N32" s="7">
        <v>19</v>
      </c>
      <c r="O32" s="7" t="str">
        <f>"004864"</f>
        <v>004864</v>
      </c>
      <c r="P32" s="6">
        <v>43706</v>
      </c>
      <c r="Q32" s="11">
        <v>4.8940900000000003</v>
      </c>
      <c r="R32" s="11">
        <v>0.52009000000000005</v>
      </c>
      <c r="S32" s="11">
        <v>4.3739999999999997</v>
      </c>
      <c r="T32" s="7">
        <v>176</v>
      </c>
      <c r="U32" s="6">
        <v>43714</v>
      </c>
      <c r="V32" s="7">
        <v>9986697126</v>
      </c>
      <c r="W32" s="10" t="s">
        <v>49</v>
      </c>
      <c r="X32" s="7" t="s">
        <v>114</v>
      </c>
      <c r="Y32" s="10" t="s">
        <v>115</v>
      </c>
      <c r="Z32" s="7" t="s">
        <v>38</v>
      </c>
      <c r="AA32" s="10" t="s">
        <v>39</v>
      </c>
      <c r="AB32" s="11">
        <f t="shared" si="0"/>
        <v>4.8940900000000002E-2</v>
      </c>
    </row>
    <row r="33" spans="1:28" x14ac:dyDescent="0.35">
      <c r="A33" s="4">
        <v>5588</v>
      </c>
      <c r="B33" s="5" t="s">
        <v>104</v>
      </c>
      <c r="C33" s="6">
        <v>43714</v>
      </c>
      <c r="D33" s="7">
        <v>180</v>
      </c>
      <c r="E33" s="8" t="s">
        <v>40</v>
      </c>
      <c r="F33" s="7" t="s">
        <v>130</v>
      </c>
      <c r="G33" s="10" t="s">
        <v>131</v>
      </c>
      <c r="H33" s="7" t="str">
        <f>"000223"</f>
        <v>000223</v>
      </c>
      <c r="I33" s="6">
        <v>43529</v>
      </c>
      <c r="J33" s="7" t="str">
        <f>"000051"</f>
        <v>000051</v>
      </c>
      <c r="K33" s="6">
        <v>43661</v>
      </c>
      <c r="L33" s="7" t="str">
        <f>"000094"</f>
        <v>000094</v>
      </c>
      <c r="M33" s="6">
        <v>43661</v>
      </c>
      <c r="N33" s="7">
        <v>19</v>
      </c>
      <c r="O33" s="7" t="str">
        <f>"004865"</f>
        <v>004865</v>
      </c>
      <c r="P33" s="6">
        <v>43706</v>
      </c>
      <c r="Q33" s="11">
        <v>4.8917200000000003</v>
      </c>
      <c r="R33" s="11">
        <v>0.52171999999999996</v>
      </c>
      <c r="S33" s="11">
        <v>4.37</v>
      </c>
      <c r="T33" s="7">
        <v>176</v>
      </c>
      <c r="U33" s="6">
        <v>43714</v>
      </c>
      <c r="V33" s="7">
        <v>9986697126</v>
      </c>
      <c r="W33" s="10" t="s">
        <v>49</v>
      </c>
      <c r="X33" s="7" t="s">
        <v>114</v>
      </c>
      <c r="Y33" s="10" t="s">
        <v>115</v>
      </c>
      <c r="Z33" s="7" t="s">
        <v>38</v>
      </c>
      <c r="AA33" s="10" t="s">
        <v>39</v>
      </c>
      <c r="AB33" s="11">
        <f t="shared" si="0"/>
        <v>4.8917200000000001E-2</v>
      </c>
    </row>
    <row r="34" spans="1:28" x14ac:dyDescent="0.35">
      <c r="A34" s="4">
        <v>5589</v>
      </c>
      <c r="B34" s="5" t="s">
        <v>104</v>
      </c>
      <c r="C34" s="6">
        <v>43725</v>
      </c>
      <c r="D34" s="7">
        <v>180</v>
      </c>
      <c r="E34" s="8" t="s">
        <v>40</v>
      </c>
      <c r="F34" s="7" t="s">
        <v>132</v>
      </c>
      <c r="G34" s="10" t="s">
        <v>133</v>
      </c>
      <c r="H34" s="7" t="str">
        <f>"000047"</f>
        <v>000047</v>
      </c>
      <c r="I34" s="6">
        <v>42311</v>
      </c>
      <c r="J34" s="7" t="str">
        <f>"000068"</f>
        <v>000068</v>
      </c>
      <c r="K34" s="6">
        <v>43167</v>
      </c>
      <c r="L34" s="7" t="str">
        <f>"000159"</f>
        <v>000159</v>
      </c>
      <c r="M34" s="6">
        <v>43168</v>
      </c>
      <c r="N34" s="7">
        <v>14</v>
      </c>
      <c r="O34" s="7" t="str">
        <f>"004914"</f>
        <v>004914</v>
      </c>
      <c r="P34" s="6">
        <v>43711</v>
      </c>
      <c r="Q34" s="11">
        <v>4.6203700000000003</v>
      </c>
      <c r="R34" s="11">
        <v>0.47437000000000001</v>
      </c>
      <c r="S34" s="11">
        <v>4.1459999999999999</v>
      </c>
      <c r="T34" s="7">
        <v>190</v>
      </c>
      <c r="U34" s="6">
        <v>43725</v>
      </c>
      <c r="V34" s="7">
        <v>9900011109</v>
      </c>
      <c r="W34" s="10" t="s">
        <v>134</v>
      </c>
      <c r="X34" s="7" t="s">
        <v>29</v>
      </c>
      <c r="Y34" s="10" t="s">
        <v>30</v>
      </c>
      <c r="Z34" s="7" t="s">
        <v>38</v>
      </c>
      <c r="AA34" s="10" t="s">
        <v>39</v>
      </c>
      <c r="AB34" s="11">
        <f t="shared" si="0"/>
        <v>4.62037E-2</v>
      </c>
    </row>
    <row r="35" spans="1:28" x14ac:dyDescent="0.35">
      <c r="A35" s="4">
        <v>5590</v>
      </c>
      <c r="B35" s="5" t="s">
        <v>104</v>
      </c>
      <c r="C35" s="6">
        <v>43725</v>
      </c>
      <c r="D35" s="7">
        <v>180</v>
      </c>
      <c r="E35" s="8" t="s">
        <v>40</v>
      </c>
      <c r="F35" s="7" t="s">
        <v>132</v>
      </c>
      <c r="G35" s="10" t="s">
        <v>133</v>
      </c>
      <c r="H35" s="7" t="str">
        <f>"000047"</f>
        <v>000047</v>
      </c>
      <c r="I35" s="6">
        <v>42311</v>
      </c>
      <c r="J35" s="7" t="str">
        <f>"000068"</f>
        <v>000068</v>
      </c>
      <c r="K35" s="6">
        <v>43167</v>
      </c>
      <c r="L35" s="7" t="str">
        <f>"000159"</f>
        <v>000159</v>
      </c>
      <c r="M35" s="6">
        <v>43168</v>
      </c>
      <c r="N35" s="7">
        <v>14</v>
      </c>
      <c r="O35" s="7" t="str">
        <f>"004914"</f>
        <v>004914</v>
      </c>
      <c r="P35" s="6">
        <v>43711</v>
      </c>
      <c r="Q35" s="11">
        <v>1.24725</v>
      </c>
      <c r="R35" s="11">
        <v>0.10224999999999999</v>
      </c>
      <c r="S35" s="11">
        <v>1.145</v>
      </c>
      <c r="T35" s="7">
        <v>190</v>
      </c>
      <c r="U35" s="6">
        <v>43725</v>
      </c>
      <c r="V35" s="7">
        <v>9900011109</v>
      </c>
      <c r="W35" s="10" t="s">
        <v>134</v>
      </c>
      <c r="X35" s="7" t="s">
        <v>29</v>
      </c>
      <c r="Y35" s="10" t="s">
        <v>30</v>
      </c>
      <c r="Z35" s="7" t="s">
        <v>38</v>
      </c>
      <c r="AA35" s="10" t="s">
        <v>39</v>
      </c>
      <c r="AB35" s="11">
        <f t="shared" si="0"/>
        <v>1.2472499999999999E-2</v>
      </c>
    </row>
    <row r="36" spans="1:28" x14ac:dyDescent="0.35">
      <c r="A36" s="4">
        <v>5591</v>
      </c>
      <c r="B36" s="5" t="s">
        <v>104</v>
      </c>
      <c r="C36" s="6">
        <v>43734</v>
      </c>
      <c r="D36" s="7">
        <v>180</v>
      </c>
      <c r="E36" s="8" t="s">
        <v>40</v>
      </c>
      <c r="F36" s="7" t="s">
        <v>135</v>
      </c>
      <c r="G36" s="10" t="s">
        <v>136</v>
      </c>
      <c r="H36" s="7" t="str">
        <f>"000134"</f>
        <v>000134</v>
      </c>
      <c r="I36" s="6">
        <v>43186</v>
      </c>
      <c r="J36" s="7" t="str">
        <f>"000044"</f>
        <v>000044</v>
      </c>
      <c r="K36" s="6">
        <v>43341</v>
      </c>
      <c r="L36" s="7" t="str">
        <f>"000081"</f>
        <v>000081</v>
      </c>
      <c r="M36" s="6">
        <v>43342</v>
      </c>
      <c r="N36" s="7">
        <v>17</v>
      </c>
      <c r="O36" s="7" t="str">
        <f>"005395"</f>
        <v>005395</v>
      </c>
      <c r="P36" s="6">
        <v>43731</v>
      </c>
      <c r="Q36" s="11">
        <v>20.612680000000001</v>
      </c>
      <c r="R36" s="11">
        <v>2.04068</v>
      </c>
      <c r="S36" s="11">
        <v>18.571999999999999</v>
      </c>
      <c r="T36" s="7">
        <v>203</v>
      </c>
      <c r="U36" s="6">
        <v>43734</v>
      </c>
      <c r="V36" s="7">
        <v>9880472333</v>
      </c>
      <c r="W36" s="10" t="s">
        <v>137</v>
      </c>
      <c r="X36" s="7" t="s">
        <v>58</v>
      </c>
      <c r="Y36" s="10" t="s">
        <v>59</v>
      </c>
      <c r="Z36" s="7" t="s">
        <v>38</v>
      </c>
      <c r="AA36" s="10" t="s">
        <v>39</v>
      </c>
      <c r="AB36" s="11">
        <f t="shared" si="0"/>
        <v>0.2061268</v>
      </c>
    </row>
    <row r="37" spans="1:28" x14ac:dyDescent="0.35">
      <c r="A37" s="4">
        <v>5592</v>
      </c>
      <c r="B37" s="5" t="s">
        <v>104</v>
      </c>
      <c r="C37" s="6">
        <v>43735</v>
      </c>
      <c r="D37" s="7">
        <v>180</v>
      </c>
      <c r="E37" s="8" t="s">
        <v>40</v>
      </c>
      <c r="F37" s="7" t="s">
        <v>138</v>
      </c>
      <c r="G37" s="10" t="s">
        <v>139</v>
      </c>
      <c r="H37" s="7" t="str">
        <f>"000052"</f>
        <v>000052</v>
      </c>
      <c r="I37" s="6">
        <v>43678</v>
      </c>
      <c r="J37" s="7" t="str">
        <f>"000080"</f>
        <v>000080</v>
      </c>
      <c r="K37" s="6">
        <v>43719</v>
      </c>
      <c r="L37" s="7" t="str">
        <f>"000149"</f>
        <v>000149</v>
      </c>
      <c r="M37" s="6">
        <v>43719</v>
      </c>
      <c r="N37" s="7">
        <v>19</v>
      </c>
      <c r="O37" s="7" t="str">
        <f>"005136"</f>
        <v>005136</v>
      </c>
      <c r="P37" s="6">
        <v>43724</v>
      </c>
      <c r="Q37" s="11">
        <v>24.95289</v>
      </c>
      <c r="R37" s="11">
        <v>2.7078899999999999</v>
      </c>
      <c r="S37" s="11">
        <v>22.245000000000001</v>
      </c>
      <c r="T37" s="7">
        <v>204</v>
      </c>
      <c r="U37" s="6">
        <v>43735</v>
      </c>
      <c r="V37" s="7">
        <v>9986697126</v>
      </c>
      <c r="W37" s="10" t="s">
        <v>49</v>
      </c>
      <c r="X37" s="7" t="s">
        <v>140</v>
      </c>
      <c r="Y37" s="10" t="s">
        <v>141</v>
      </c>
      <c r="Z37" s="7" t="s">
        <v>38</v>
      </c>
      <c r="AA37" s="10" t="s">
        <v>39</v>
      </c>
      <c r="AB37" s="11">
        <f t="shared" si="0"/>
        <v>0.2495289</v>
      </c>
    </row>
    <row r="38" spans="1:28" x14ac:dyDescent="0.35">
      <c r="A38" s="4">
        <v>5593</v>
      </c>
      <c r="B38" s="5" t="s">
        <v>142</v>
      </c>
      <c r="C38" s="6">
        <v>43741</v>
      </c>
      <c r="D38" s="4">
        <v>180</v>
      </c>
      <c r="E38" s="8" t="s">
        <v>40</v>
      </c>
      <c r="F38" s="7" t="s">
        <v>143</v>
      </c>
      <c r="G38" s="8" t="s">
        <v>144</v>
      </c>
      <c r="H38" s="7" t="str">
        <f>"000053"</f>
        <v>000053</v>
      </c>
      <c r="I38" s="6">
        <v>43682</v>
      </c>
      <c r="J38" s="7" t="str">
        <f>"000084"</f>
        <v>000084</v>
      </c>
      <c r="K38" s="6">
        <v>43726</v>
      </c>
      <c r="L38" s="7" t="str">
        <f>"000154"</f>
        <v>000154</v>
      </c>
      <c r="M38" s="6">
        <v>43727</v>
      </c>
      <c r="N38" s="7">
        <v>19</v>
      </c>
      <c r="O38" s="7" t="str">
        <f>"005450"</f>
        <v>005450</v>
      </c>
      <c r="P38" s="6">
        <v>43738</v>
      </c>
      <c r="Q38" s="9">
        <v>19.917000000000002</v>
      </c>
      <c r="R38" s="9">
        <v>2.3162500000000001</v>
      </c>
      <c r="S38" s="9">
        <v>17.600750000000001</v>
      </c>
      <c r="T38" s="7">
        <v>13</v>
      </c>
      <c r="U38" s="6">
        <v>43741</v>
      </c>
      <c r="V38" s="7">
        <v>9986697126</v>
      </c>
      <c r="W38" s="8" t="s">
        <v>49</v>
      </c>
      <c r="X38" s="7" t="s">
        <v>140</v>
      </c>
      <c r="Y38" s="8" t="s">
        <v>141</v>
      </c>
      <c r="Z38" s="7" t="s">
        <v>38</v>
      </c>
      <c r="AA38" s="8" t="s">
        <v>39</v>
      </c>
      <c r="AB38" s="9">
        <v>0.19917000000000001</v>
      </c>
    </row>
    <row r="39" spans="1:28" x14ac:dyDescent="0.35">
      <c r="A39" s="4">
        <v>5594</v>
      </c>
      <c r="B39" s="5" t="s">
        <v>142</v>
      </c>
      <c r="C39" s="6">
        <v>43752</v>
      </c>
      <c r="D39" s="4">
        <v>180</v>
      </c>
      <c r="E39" s="8" t="s">
        <v>40</v>
      </c>
      <c r="F39" s="7" t="s">
        <v>145</v>
      </c>
      <c r="G39" s="8" t="s">
        <v>146</v>
      </c>
      <c r="H39" s="7" t="str">
        <f>"000023"</f>
        <v>000023</v>
      </c>
      <c r="I39" s="6">
        <v>43228</v>
      </c>
      <c r="J39" s="7" t="str">
        <f>"000074"</f>
        <v>000074</v>
      </c>
      <c r="K39" s="6">
        <v>43704</v>
      </c>
      <c r="L39" s="7" t="str">
        <f>"000140"</f>
        <v>000140</v>
      </c>
      <c r="M39" s="6">
        <v>43707</v>
      </c>
      <c r="N39" s="7">
        <v>17</v>
      </c>
      <c r="O39" s="7" t="str">
        <f>"005748"</f>
        <v>005748</v>
      </c>
      <c r="P39" s="6">
        <v>43749</v>
      </c>
      <c r="Q39" s="9">
        <v>11.975899999999999</v>
      </c>
      <c r="R39" s="9">
        <v>1.0909</v>
      </c>
      <c r="S39" s="9">
        <v>10.885</v>
      </c>
      <c r="T39" s="7">
        <v>13</v>
      </c>
      <c r="U39" s="6">
        <v>43752</v>
      </c>
      <c r="V39" s="7">
        <v>9964218400</v>
      </c>
      <c r="W39" s="8" t="s">
        <v>46</v>
      </c>
      <c r="X39" s="7" t="s">
        <v>147</v>
      </c>
      <c r="Y39" s="8" t="s">
        <v>148</v>
      </c>
      <c r="Z39" s="7" t="s">
        <v>38</v>
      </c>
      <c r="AA39" s="8" t="s">
        <v>39</v>
      </c>
      <c r="AB39" s="9">
        <v>0.11975899999999999</v>
      </c>
    </row>
    <row r="40" spans="1:28" x14ac:dyDescent="0.35">
      <c r="A40" s="4">
        <v>5595</v>
      </c>
      <c r="B40" s="5" t="s">
        <v>149</v>
      </c>
      <c r="C40" s="6">
        <v>43817</v>
      </c>
      <c r="D40" s="4">
        <v>180</v>
      </c>
      <c r="E40" s="8" t="s">
        <v>40</v>
      </c>
      <c r="F40" s="7" t="s">
        <v>150</v>
      </c>
      <c r="G40" s="8" t="s">
        <v>151</v>
      </c>
      <c r="H40" s="7" t="str">
        <f>"000034"</f>
        <v>000034</v>
      </c>
      <c r="I40" s="6">
        <v>42881</v>
      </c>
      <c r="J40" s="7" t="str">
        <f>"000006"</f>
        <v>000006</v>
      </c>
      <c r="K40" s="6">
        <v>43249</v>
      </c>
      <c r="L40" s="7" t="str">
        <f>"000021"</f>
        <v>000021</v>
      </c>
      <c r="M40" s="6">
        <v>43251</v>
      </c>
      <c r="N40" s="7">
        <v>17</v>
      </c>
      <c r="O40" s="7" t="str">
        <f>"006750"</f>
        <v>006750</v>
      </c>
      <c r="P40" s="6">
        <v>43811</v>
      </c>
      <c r="Q40" s="9">
        <v>4.7522000000000002</v>
      </c>
      <c r="R40" s="9">
        <v>0.6522</v>
      </c>
      <c r="S40" s="9">
        <v>4.0999999999999996</v>
      </c>
      <c r="T40" s="7">
        <v>13</v>
      </c>
      <c r="U40" s="6">
        <v>43817</v>
      </c>
      <c r="V40" s="7">
        <v>8722933994</v>
      </c>
      <c r="W40" s="8" t="s">
        <v>152</v>
      </c>
      <c r="X40" s="7" t="s">
        <v>29</v>
      </c>
      <c r="Y40" s="8" t="s">
        <v>30</v>
      </c>
      <c r="Z40" s="7" t="s">
        <v>38</v>
      </c>
      <c r="AA40" s="8" t="s">
        <v>39</v>
      </c>
      <c r="AB40" s="9">
        <v>4.7522000000000002E-2</v>
      </c>
    </row>
    <row r="41" spans="1:28" x14ac:dyDescent="0.35">
      <c r="A41" s="4">
        <v>5596</v>
      </c>
      <c r="B41" s="5" t="s">
        <v>149</v>
      </c>
      <c r="C41" s="6">
        <v>43818</v>
      </c>
      <c r="D41" s="4">
        <v>180</v>
      </c>
      <c r="E41" s="8" t="s">
        <v>40</v>
      </c>
      <c r="F41" s="7" t="s">
        <v>153</v>
      </c>
      <c r="G41" s="8" t="s">
        <v>154</v>
      </c>
      <c r="H41" s="7" t="str">
        <f>"000182"</f>
        <v>000182</v>
      </c>
      <c r="I41" s="6">
        <v>43508</v>
      </c>
      <c r="J41" s="7" t="str">
        <f>"000112"</f>
        <v>000112</v>
      </c>
      <c r="K41" s="6">
        <v>43802</v>
      </c>
      <c r="L41" s="7" t="str">
        <f>"000203"</f>
        <v>000203</v>
      </c>
      <c r="M41" s="6">
        <v>43803</v>
      </c>
      <c r="N41" s="7">
        <v>17</v>
      </c>
      <c r="O41" s="7" t="str">
        <f>"006877"</f>
        <v>006877</v>
      </c>
      <c r="P41" s="6">
        <v>43818</v>
      </c>
      <c r="Q41" s="9">
        <v>164.46870000000001</v>
      </c>
      <c r="R41" s="9">
        <v>17.8521</v>
      </c>
      <c r="S41" s="9">
        <v>146.61660000000001</v>
      </c>
      <c r="T41" s="7">
        <v>13</v>
      </c>
      <c r="U41" s="6">
        <v>43818</v>
      </c>
      <c r="V41" s="7">
        <v>9986697126</v>
      </c>
      <c r="W41" s="8" t="s">
        <v>49</v>
      </c>
      <c r="X41" s="7" t="s">
        <v>147</v>
      </c>
      <c r="Y41" s="8" t="s">
        <v>148</v>
      </c>
      <c r="Z41" s="7" t="s">
        <v>38</v>
      </c>
      <c r="AA41" s="8" t="s">
        <v>39</v>
      </c>
      <c r="AB41" s="9">
        <v>1.6446870000000002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2019-07-02T06:05:12Z</dcterms:created>
  <dcterms:modified xsi:type="dcterms:W3CDTF">2020-01-30T07:04:40Z</dcterms:modified>
</cp:coreProperties>
</file>