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48" i="1" l="1"/>
  <c r="L48" i="1"/>
  <c r="J48" i="1"/>
  <c r="H48" i="1"/>
  <c r="O47" i="1"/>
  <c r="L47" i="1"/>
  <c r="J47" i="1"/>
  <c r="H47" i="1"/>
  <c r="O46" i="1"/>
  <c r="L46" i="1"/>
  <c r="J46" i="1"/>
  <c r="H46" i="1"/>
  <c r="O45" i="1"/>
  <c r="L45" i="1"/>
  <c r="J45" i="1"/>
  <c r="H45" i="1"/>
  <c r="O44" i="1"/>
  <c r="L44" i="1"/>
  <c r="J44" i="1"/>
  <c r="H44" i="1"/>
  <c r="O43" i="1"/>
  <c r="L43" i="1"/>
  <c r="J43" i="1"/>
  <c r="H43" i="1"/>
  <c r="O42" i="1"/>
  <c r="L42" i="1"/>
  <c r="J42" i="1"/>
  <c r="H42" i="1"/>
  <c r="O41" i="1"/>
  <c r="L41" i="1"/>
  <c r="J41" i="1"/>
  <c r="H41" i="1"/>
  <c r="AB40" i="1"/>
  <c r="O40" i="1"/>
  <c r="L40" i="1"/>
  <c r="J40" i="1"/>
  <c r="H40" i="1"/>
  <c r="AB39" i="1"/>
  <c r="O39" i="1"/>
  <c r="L39" i="1"/>
  <c r="J39" i="1"/>
  <c r="H39" i="1"/>
  <c r="AB38" i="1"/>
  <c r="O38" i="1"/>
  <c r="L38" i="1"/>
  <c r="J38" i="1"/>
  <c r="H38" i="1"/>
  <c r="AB37" i="1"/>
  <c r="O37" i="1"/>
  <c r="L37" i="1"/>
  <c r="J37" i="1"/>
  <c r="H37" i="1"/>
  <c r="AB36" i="1"/>
  <c r="O36" i="1"/>
  <c r="L36" i="1"/>
  <c r="J36" i="1"/>
  <c r="H36" i="1"/>
  <c r="AB35" i="1"/>
  <c r="O35" i="1"/>
  <c r="L35" i="1"/>
  <c r="J35" i="1"/>
  <c r="H35" i="1"/>
  <c r="AB34" i="1"/>
  <c r="O34" i="1"/>
  <c r="L34" i="1"/>
  <c r="J34" i="1"/>
  <c r="H34" i="1"/>
  <c r="AB33" i="1"/>
  <c r="O33" i="1"/>
  <c r="L33" i="1"/>
  <c r="J33" i="1"/>
  <c r="H33" i="1"/>
  <c r="AB32" i="1"/>
  <c r="O32" i="1"/>
  <c r="L32" i="1"/>
  <c r="J32" i="1"/>
  <c r="H32" i="1"/>
  <c r="AB31" i="1"/>
  <c r="O31" i="1"/>
  <c r="L31" i="1"/>
  <c r="J31" i="1"/>
  <c r="H31" i="1"/>
  <c r="AB30" i="1"/>
  <c r="O30" i="1"/>
  <c r="L30" i="1"/>
  <c r="J30" i="1"/>
  <c r="H30" i="1"/>
  <c r="AB29" i="1"/>
  <c r="O29" i="1"/>
  <c r="L29" i="1"/>
  <c r="J29" i="1"/>
  <c r="H29" i="1"/>
  <c r="AB28" i="1"/>
  <c r="O28" i="1"/>
  <c r="L28" i="1"/>
  <c r="J28" i="1"/>
  <c r="H28" i="1"/>
  <c r="AB27" i="1"/>
  <c r="O27" i="1"/>
  <c r="L27" i="1"/>
  <c r="J27" i="1"/>
  <c r="H27" i="1"/>
  <c r="AB26" i="1"/>
  <c r="O26" i="1"/>
  <c r="L26" i="1"/>
  <c r="J26" i="1"/>
  <c r="H26" i="1"/>
  <c r="AB25" i="1"/>
  <c r="O25" i="1"/>
  <c r="L25" i="1"/>
  <c r="J25" i="1"/>
  <c r="H25" i="1"/>
  <c r="AB24" i="1"/>
  <c r="O24" i="1"/>
  <c r="L24" i="1"/>
  <c r="J24" i="1"/>
  <c r="H24" i="1"/>
  <c r="AB23" i="1"/>
  <c r="O23" i="1"/>
  <c r="L23" i="1"/>
  <c r="J23" i="1"/>
  <c r="H23" i="1"/>
  <c r="AB22" i="1"/>
  <c r="O22" i="1"/>
  <c r="L22" i="1"/>
  <c r="J22" i="1"/>
  <c r="H22" i="1"/>
  <c r="AB21" i="1"/>
  <c r="O21" i="1"/>
  <c r="L21" i="1"/>
  <c r="J21" i="1"/>
  <c r="H21" i="1"/>
  <c r="O20" i="1"/>
  <c r="L20" i="1"/>
  <c r="J20" i="1"/>
  <c r="H20" i="1"/>
  <c r="O19" i="1"/>
  <c r="L19" i="1"/>
  <c r="J19" i="1"/>
  <c r="H19" i="1"/>
  <c r="O18" i="1"/>
  <c r="L18" i="1"/>
  <c r="J18" i="1"/>
  <c r="H18" i="1"/>
  <c r="O17" i="1"/>
  <c r="L17" i="1"/>
  <c r="J17" i="1"/>
  <c r="H17" i="1"/>
  <c r="O16" i="1"/>
  <c r="L16" i="1"/>
  <c r="J16" i="1"/>
  <c r="H16" i="1"/>
  <c r="O15" i="1"/>
  <c r="L15" i="1"/>
  <c r="J15" i="1"/>
  <c r="H15"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AB5"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<sst xmlns="http://schemas.openxmlformats.org/spreadsheetml/2006/main" count="451" uniqueCount="181">
  <si>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</si>
  <si>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</si>
  <si>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</si>
  <si>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</si>
  <si>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</si>
  <si>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</si>
  <si>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</si>
  <si>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</si>
  <si>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</si>
  <si>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</si>
  <si>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</si>
  <si>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</si>
  <si>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</si>
  <si>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</si>
  <si>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</si>
  <si>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</si>
  <si>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</si>
  <si>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</si>
  <si>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</si>
  <si>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</si>
  <si>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</si>
  <si>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</si>
  <si>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</si>
  <si>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</si>
  <si>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</si>
  <si>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</si>
  <si>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</si>
  <si>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</si>
  <si>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</si>
  <si>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</si>
  <si>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</si>
  <si>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</si>
  <si>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May</t>
  </si>
  <si>
    <t>M and R to Street Lights - Replacement of Burnt Bulbs etc. (Package)</t>
  </si>
  <si>
    <t>P0300</t>
  </si>
  <si>
    <t>P1878</t>
  </si>
  <si>
    <t>18per - Works (Bhagyajyothi, Sooru / Neeru Yojane and General) (54 Lakhs / New Wards)</t>
  </si>
  <si>
    <t>KRIDL</t>
  </si>
  <si>
    <t>ddo258</t>
  </si>
  <si>
    <t xml:space="preserve"> Executive Engineer Electrical South Zone</t>
  </si>
  <si>
    <t>ddo422</t>
  </si>
  <si>
    <t xml:space="preserve"> Executive Engineer Project - South Zone</t>
  </si>
  <si>
    <t>P0541</t>
  </si>
  <si>
    <t>Emergency Reserve Fund</t>
  </si>
  <si>
    <t>P3172</t>
  </si>
  <si>
    <t>Special Development works in ward No.177,78,97, 57,99,100,68,11,126,168, 113,02, 181,03, 21,33,23,24,27 ,59,53,57,81,47, 45,72, 50,91,92,117,145,146,147,148,151,152, 122,134, 157, 84,85,150,163, 179,180, 170, 171, 175,176, 173,174, 186,189, 190,193,185,191,194, 195,196, 127, (Rs.200 lakhs each ward)</t>
  </si>
  <si>
    <t>ddo269</t>
  </si>
  <si>
    <t xml:space="preserve"> Assistant Executive Engineer Padmanabha Nagar South Zone</t>
  </si>
  <si>
    <t>SIDDEGOWDA D</t>
  </si>
  <si>
    <t>SIDDE GOWDA D</t>
  </si>
  <si>
    <t>Kumara Swamy Layout</t>
  </si>
  <si>
    <t>181-16-000001</t>
  </si>
  <si>
    <t>Operation and Maintenance of Street Lighting System in Ward No.181 Package S-2 of South Zone</t>
  </si>
  <si>
    <t>M/s. Aravinda Electricals</t>
  </si>
  <si>
    <t>181-17-000006</t>
  </si>
  <si>
    <t>Emergency Desilting and Improvements to Drain and Culvert around muniyappa compound and in Kumaraswamy Layout in ward no 181</t>
  </si>
  <si>
    <t>M RAVI BHUSHAN</t>
  </si>
  <si>
    <t>181-17-000026</t>
  </si>
  <si>
    <t>Improvements to Culvert and Drain at 1st Main road of ISRO Layout in Ward No-181.</t>
  </si>
  <si>
    <t>K S SRINIVASAN</t>
  </si>
  <si>
    <t>181-17-000029</t>
  </si>
  <si>
    <t>Construction of Culvert and improvements to Drain at ISRO Layout in Ward No-181</t>
  </si>
  <si>
    <t>181-16-000028</t>
  </si>
  <si>
    <t>Improvements to drain culverts and roads in ares slum in KS Layout in ward no 181</t>
  </si>
  <si>
    <t>MADHU V A</t>
  </si>
  <si>
    <t>181-17-000008</t>
  </si>
  <si>
    <t>Improvements to drain and culverts at ISRO Layout in ward no 181.</t>
  </si>
  <si>
    <t>181-17-000024</t>
  </si>
  <si>
    <t>Improvements to Drain at 50th Main road of K.S. Layout in Ward No-181.</t>
  </si>
  <si>
    <t>T SRINIVAS</t>
  </si>
  <si>
    <t>181-17-000018</t>
  </si>
  <si>
    <t>Providing Children equipment to Bendre park in kumaraswamy Layout in ward no 181.</t>
  </si>
  <si>
    <t>P0311</t>
  </si>
  <si>
    <t>Landscape Development Of Parks/Medians/Boulevants and Circles(Janoodya Works)</t>
  </si>
  <si>
    <t>181-17-000017</t>
  </si>
  <si>
    <t>Providing senior citizen gym equipment to Bendre park in kumaraswamy Layout in ward no 181.</t>
  </si>
  <si>
    <t>181-17-000067</t>
  </si>
  <si>
    <t>Improvements to Drain at 4th main road Kanaka Layout in ward no 181</t>
  </si>
  <si>
    <t>181-17-000025</t>
  </si>
  <si>
    <t>Improvements to Drain at 49th Main road of K.S. Layout in Ward No-181.</t>
  </si>
  <si>
    <t>Siddegowda D</t>
  </si>
  <si>
    <t>181-17-000070</t>
  </si>
  <si>
    <t>Improvements to Drain and culvert at 6th  Main road of ISRO Layout in ward no 181</t>
  </si>
  <si>
    <t>C KRISHNA</t>
  </si>
  <si>
    <t>181-17-000066</t>
  </si>
  <si>
    <t xml:space="preserve"> Improvements to Drain at 3rd main road Kanaka Layout in ward no 181</t>
  </si>
  <si>
    <t>181-17-000069</t>
  </si>
  <si>
    <t>Improvements to Drain and culvert at 8th B  Main road and 9th B main road of ISRO Layout in ward no 181</t>
  </si>
  <si>
    <t>181-17-000068</t>
  </si>
  <si>
    <t>Improvements to Drain and culvert at 6th A Main road of ISRO Layout in ward no 181</t>
  </si>
  <si>
    <t>181-17-000023</t>
  </si>
  <si>
    <t>Improvements to Culvert and Drain at 95th Cross in Ward No-181.</t>
  </si>
  <si>
    <t>181-17-000061</t>
  </si>
  <si>
    <t>Improvements to drain and culvert at 69th cross of K S Layout in ward no 181</t>
  </si>
  <si>
    <t>T S MAHADEVA</t>
  </si>
  <si>
    <t>P3167</t>
  </si>
  <si>
    <t>Special Development works in ward No.119, 124, 131, 133, 157, 171, 177, 181, 192, 184, 185, 194, 155, 105, 90, 91, 92, 98, 09, 11, 02, 65 (Rs.100 lakhs per ward)</t>
  </si>
  <si>
    <t>181-17-000060</t>
  </si>
  <si>
    <t>Improvements to drain and culvert at 70th cross of K S Layout in ward no 181</t>
  </si>
  <si>
    <t>July</t>
  </si>
  <si>
    <t>181-17-000062</t>
  </si>
  <si>
    <t>Improvements to drain and culvert 45th cross of K S Layout in ward no 181</t>
  </si>
  <si>
    <t>181-13-000052</t>
  </si>
  <si>
    <t>Improvements to drain with covering slab to 6th main road and culverts in Menoz Nagar K S Layout ward no 181</t>
  </si>
  <si>
    <t>P2664</t>
  </si>
  <si>
    <t>Spl Developmental Works (Ward no`s 5,20,25,31,36,40,53,96,128,153,181)</t>
  </si>
  <si>
    <t>181-13-000068</t>
  </si>
  <si>
    <t>Improvements to drain with covering slab to 3rd main road in JHBCS layout in ward No 181</t>
  </si>
  <si>
    <t>P0190</t>
  </si>
  <si>
    <t>Works sanctioned by Hon Mayor</t>
  </si>
  <si>
    <t>181-13-000066</t>
  </si>
  <si>
    <t>Improvements to drain with covering slab to 2nd main road in JHBCS layout in ward No 181</t>
  </si>
  <si>
    <t>181-13-000050</t>
  </si>
  <si>
    <t>Improvements to drain with covering slab and asphalting to roads to 3rd main road in Menoz Nagar K S Layout ward no 181</t>
  </si>
  <si>
    <t xml:space="preserve">KRIDL </t>
  </si>
  <si>
    <t>181-13-000065</t>
  </si>
  <si>
    <t>Improvements to drain with covering slab to 1st and 2nd main road is Menoz nagar in ward No 181</t>
  </si>
  <si>
    <t>181-13-000064</t>
  </si>
  <si>
    <t>Improvements to drain with covering slab to 7th main road and culverts to cross roads in Menoz nagar in ward No 181</t>
  </si>
  <si>
    <t>181-13-000063</t>
  </si>
  <si>
    <t>Improvements to drain with covering slab to 8th main road is Menoz nagar in ward No 181</t>
  </si>
  <si>
    <t>181-13-000061</t>
  </si>
  <si>
    <t>Improvements to drain with covering slab to 4th main road is Menoz nagar in ward No 181</t>
  </si>
  <si>
    <t>181-13-000067</t>
  </si>
  <si>
    <t xml:space="preserve">Improvements to drain with covering slab to 1st main road in JHBCS layout in ward No 181 </t>
  </si>
  <si>
    <t>181-13-000069</t>
  </si>
  <si>
    <t>Improvements to drain with covering slab to 5th , 6th , 8th cross roads ( JHBCS park) in JHBCS layout in ward No 181</t>
  </si>
  <si>
    <t>181-13-000062</t>
  </si>
  <si>
    <t>Improvements to drain with covering slab to 4th cross road and concrete roads 7thj main and 8th main Menoz nagar in ward No 181</t>
  </si>
  <si>
    <t>August</t>
  </si>
  <si>
    <t>181-13-000051</t>
  </si>
  <si>
    <t>Improvements to drain with covering slab to 5th main road in Menoz Nagar K S Layout ward no 181</t>
  </si>
  <si>
    <t>September</t>
  </si>
  <si>
    <t>181-19-000008</t>
  </si>
  <si>
    <t>Improvements to bad reaches of footpath in 8th Cross ISRO layout and Police station road in ward no 181</t>
  </si>
  <si>
    <t>DHANANJAYA V</t>
  </si>
  <si>
    <t>P3296</t>
  </si>
  <si>
    <t>14th Finance Commission Works - Road and Footpath Maintenance</t>
  </si>
  <si>
    <t>181-19-000006</t>
  </si>
  <si>
    <t>Improvements to bad reaches of footpath in 18th main ISRO layout in ward no 181</t>
  </si>
  <si>
    <t>T PRAVEEN KUMAR</t>
  </si>
  <si>
    <t>181-19-000007</t>
  </si>
  <si>
    <t>Improvements to bad reaches of footpath in 50 Feet road K S Layout in ward no 181</t>
  </si>
  <si>
    <t>DAYANANDA T</t>
  </si>
  <si>
    <t>181-17-000009</t>
  </si>
  <si>
    <t>Providing fencing to the vacant site near saint philomina school (Infront of sardar vallabhai patel park in ward no 181</t>
  </si>
  <si>
    <t>K.S.Srinivasan</t>
  </si>
  <si>
    <t>P0290</t>
  </si>
  <si>
    <t>BBMP Assets - Fencing of Vacant BMP Land (including Parks, Playgrounds and Gardens)</t>
  </si>
  <si>
    <t>181-17-000030</t>
  </si>
  <si>
    <t>Engaging special gangmen for ward area maintenance in Ward No-181.</t>
  </si>
  <si>
    <t>B C SUKUMAR</t>
  </si>
  <si>
    <t>October</t>
  </si>
  <si>
    <t>181-17-000063</t>
  </si>
  <si>
    <t>Construction of Meeting Hall above Division office at K S Layout in ward no 181</t>
  </si>
  <si>
    <t xml:space="preserve"> NANDINI H S</t>
  </si>
  <si>
    <t>181-17-000064</t>
  </si>
  <si>
    <t>Improvements and Asphalting to Bad roads of ISRO Layout in ward no 181</t>
  </si>
  <si>
    <t>S MADHUKAR</t>
  </si>
  <si>
    <t>181-17-000065</t>
  </si>
  <si>
    <t>Improvements and Asphalting to Bad roads of Kumaraswamy Layout in ward no 181</t>
  </si>
  <si>
    <t>181-19-000010</t>
  </si>
  <si>
    <t>Providing Structural Barricading and grill work to footpath on 100 feet ring road at Muniyappa Compound Near Illiyasnagar in ward no 181</t>
  </si>
  <si>
    <t>TECHNICAL MANAGER (3) KRIDL</t>
  </si>
  <si>
    <t>P3298</t>
  </si>
  <si>
    <t>14th Finance Commission Works - SWM Works</t>
  </si>
  <si>
    <t>181-17-000057</t>
  </si>
  <si>
    <t>Engagement of Gangman and Hiring of Tractor Tippers for cleaning and Maintenance of road side drains and other cleaning works in works in ward no 181</t>
  </si>
  <si>
    <t xml:space="preserve"> B S KIRAN KUMAR PROP OF LAKSHMI RANGANATHA SWAMY EANTERPRISES</t>
  </si>
  <si>
    <t>P3110</t>
  </si>
  <si>
    <t>14th Finance Commission Grant Works</t>
  </si>
  <si>
    <t>November</t>
  </si>
  <si>
    <t>181-14-000002</t>
  </si>
  <si>
    <t xml:space="preserve">Construction of Anganawadi near Hanumatha Nagar Slum KS Layout in Ward No 181. </t>
  </si>
  <si>
    <t>A Ramesh Reddy</t>
  </si>
  <si>
    <t>December</t>
  </si>
  <si>
    <t>181-17-000071</t>
  </si>
  <si>
    <t>Construction of retaining wall and other Improvements arround Library Building at Vajapayee park K S Layout in ward no 181</t>
  </si>
  <si>
    <t>SRI DASHARATHA RAMI REDDY K</t>
  </si>
  <si>
    <t>P0583</t>
  </si>
  <si>
    <t>MLA Grant Works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</si>
</sst>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8"/>
  <sheetViews>
    <sheetView tabSelected="1" workbookViewId="0">
      <selection activeCell="A2" sqref="A2:XFD48"/>
    </sheetView>
  </sheetViews>
  <sheetFormatPr defaultRowHeight="14.5" x14ac:dyDescent="0.35"/>
  <cols>
    <col min="1" max="1" width="5" bestFit="1" customWidth="1"/>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5597</v>
      </c>
      <c r="B2" s="5" t="s">
        <v>28</v>
      </c>
      <c r="C2" s="6">
        <v>43567</v>
      </c>
      <c r="D2" s="7">
        <v>181</v>
      </c>
      <c r="E2" s="8" t="s">
        <v>50</v>
      </c>
      <c r="F2" s="7" t="s">
        <v>51</v>
      </c>
      <c r="G2" s="8" t="s">
        <v>52</v>
      </c>
      <c r="H2" s="7" t="str">
        <f>"000013"</f>
        <v>000013</v>
      </c>
      <c r="I2" s="6">
        <v>42934</v>
      </c>
      <c r="J2" s="7" t="str">
        <f>"000029"</f>
        <v>000029</v>
      </c>
      <c r="K2" s="6">
        <v>43598</v>
      </c>
      <c r="L2" s="7" t="str">
        <f>"000029"</f>
        <v>000029</v>
      </c>
      <c r="M2" s="6">
        <v>43598</v>
      </c>
      <c r="N2" s="7">
        <v>16</v>
      </c>
      <c r="O2" s="7" t="str">
        <f>""</f>
        <v/>
      </c>
      <c r="P2" s="6"/>
      <c r="Q2" s="9">
        <v>7.5943500000000004</v>
      </c>
      <c r="R2" s="9">
        <v>0.64919000000000004</v>
      </c>
      <c r="S2" s="9">
        <v>6.9451599999999996</v>
      </c>
      <c r="T2" s="7">
        <v>17</v>
      </c>
      <c r="U2" s="6">
        <v>43567</v>
      </c>
      <c r="V2" s="7">
        <v>0</v>
      </c>
      <c r="W2" s="8" t="s">
        <v>53</v>
      </c>
      <c r="X2" s="7" t="s">
        <v>34</v>
      </c>
      <c r="Y2" s="8" t="s">
        <v>33</v>
      </c>
      <c r="Z2" s="7" t="s">
        <v>38</v>
      </c>
      <c r="AA2" s="8" t="s">
        <v>39</v>
      </c>
      <c r="AB2" s="9">
        <f t="shared" ref="AB2:AB13" si="0">Q2/100</f>
        <v>7.5943499999999997E-2</v>
      </c>
    </row>
    <row r="3" spans="1:28" x14ac:dyDescent="0.35">
      <c r="A3" s="4">
        <v>5598</v>
      </c>
      <c r="B3" s="5" t="s">
        <v>28</v>
      </c>
      <c r="C3" s="6">
        <v>43575</v>
      </c>
      <c r="D3" s="7">
        <v>181</v>
      </c>
      <c r="E3" s="8" t="s">
        <v>50</v>
      </c>
      <c r="F3" s="7" t="s">
        <v>51</v>
      </c>
      <c r="G3" s="8" t="s">
        <v>52</v>
      </c>
      <c r="H3" s="7" t="str">
        <f>"000013"</f>
        <v>000013</v>
      </c>
      <c r="I3" s="6">
        <v>42934</v>
      </c>
      <c r="J3" s="7" t="str">
        <f>"000029"</f>
        <v>000029</v>
      </c>
      <c r="K3" s="6">
        <v>43598</v>
      </c>
      <c r="L3" s="7" t="str">
        <f>"000029"</f>
        <v>000029</v>
      </c>
      <c r="M3" s="6">
        <v>43598</v>
      </c>
      <c r="N3" s="7">
        <v>16</v>
      </c>
      <c r="O3" s="7" t="str">
        <f>""</f>
        <v/>
      </c>
      <c r="P3" s="6"/>
      <c r="Q3" s="9">
        <v>6.3286199999999999</v>
      </c>
      <c r="R3" s="9">
        <v>0.49878</v>
      </c>
      <c r="S3" s="9">
        <v>5.8298399999999999</v>
      </c>
      <c r="T3" s="7">
        <v>20</v>
      </c>
      <c r="U3" s="6">
        <v>43575</v>
      </c>
      <c r="V3" s="7">
        <v>0</v>
      </c>
      <c r="W3" s="8" t="s">
        <v>53</v>
      </c>
      <c r="X3" s="7" t="s">
        <v>34</v>
      </c>
      <c r="Y3" s="8" t="s">
        <v>33</v>
      </c>
      <c r="Z3" s="7" t="s">
        <v>38</v>
      </c>
      <c r="AA3" s="8" t="s">
        <v>39</v>
      </c>
      <c r="AB3" s="9">
        <f t="shared" si="0"/>
        <v>6.3286200000000001E-2</v>
      </c>
    </row>
    <row r="4" spans="1:28" x14ac:dyDescent="0.35">
      <c r="A4" s="4">
        <v>5599</v>
      </c>
      <c r="B4" s="5" t="s">
        <v>32</v>
      </c>
      <c r="C4" s="6">
        <v>43591</v>
      </c>
      <c r="D4" s="7">
        <v>181</v>
      </c>
      <c r="E4" s="8" t="s">
        <v>50</v>
      </c>
      <c r="F4" s="7" t="s">
        <v>54</v>
      </c>
      <c r="G4" s="8" t="s">
        <v>55</v>
      </c>
      <c r="H4" s="7" t="str">
        <f>"000115"</f>
        <v>000115</v>
      </c>
      <c r="I4" s="6">
        <v>42825</v>
      </c>
      <c r="J4" s="7" t="str">
        <f>"000100"</f>
        <v>000100</v>
      </c>
      <c r="K4" s="6">
        <v>42913</v>
      </c>
      <c r="L4" s="7" t="str">
        <f>"000007"</f>
        <v>000007</v>
      </c>
      <c r="M4" s="6">
        <v>42970</v>
      </c>
      <c r="N4" s="7">
        <v>17</v>
      </c>
      <c r="O4" s="7" t="str">
        <f>"001283"</f>
        <v>001283</v>
      </c>
      <c r="P4" s="6">
        <v>43587</v>
      </c>
      <c r="Q4" s="9">
        <v>14.707000000000001</v>
      </c>
      <c r="R4" s="9">
        <v>1.6581999999999999</v>
      </c>
      <c r="S4" s="9">
        <v>13.0488</v>
      </c>
      <c r="T4" s="7">
        <v>37</v>
      </c>
      <c r="U4" s="6">
        <v>43591</v>
      </c>
      <c r="V4" s="7">
        <v>9448295688</v>
      </c>
      <c r="W4" s="8" t="s">
        <v>56</v>
      </c>
      <c r="X4" s="7" t="s">
        <v>42</v>
      </c>
      <c r="Y4" s="8" t="s">
        <v>43</v>
      </c>
      <c r="Z4" s="7" t="s">
        <v>46</v>
      </c>
      <c r="AA4" s="8" t="s">
        <v>47</v>
      </c>
      <c r="AB4" s="9">
        <f t="shared" si="0"/>
        <v>0.14707000000000001</v>
      </c>
    </row>
    <row r="5" spans="1:28" x14ac:dyDescent="0.35">
      <c r="A5" s="4">
        <v>5600</v>
      </c>
      <c r="B5" s="5" t="s">
        <v>32</v>
      </c>
      <c r="C5" s="6">
        <v>43591</v>
      </c>
      <c r="D5" s="7">
        <v>181</v>
      </c>
      <c r="E5" s="8" t="s">
        <v>50</v>
      </c>
      <c r="F5" s="7" t="s">
        <v>57</v>
      </c>
      <c r="G5" s="8" t="s">
        <v>58</v>
      </c>
      <c r="H5" s="7" t="str">
        <f>"000056"</f>
        <v>000056</v>
      </c>
      <c r="I5" s="6">
        <v>42908</v>
      </c>
      <c r="J5" s="7" t="str">
        <f>"000002"</f>
        <v>000002</v>
      </c>
      <c r="K5" s="6">
        <v>42963</v>
      </c>
      <c r="L5" s="7" t="str">
        <f>"000008"</f>
        <v>000008</v>
      </c>
      <c r="M5" s="6">
        <v>42971</v>
      </c>
      <c r="N5" s="7">
        <v>17</v>
      </c>
      <c r="O5" s="7" t="str">
        <f>"001285"</f>
        <v>001285</v>
      </c>
      <c r="P5" s="6">
        <v>43587</v>
      </c>
      <c r="Q5" s="9">
        <v>23.603999999999999</v>
      </c>
      <c r="R5" s="9">
        <v>2.6088</v>
      </c>
      <c r="S5" s="9">
        <v>20.995200000000001</v>
      </c>
      <c r="T5" s="7">
        <v>37</v>
      </c>
      <c r="U5" s="6">
        <v>43591</v>
      </c>
      <c r="V5" s="7">
        <v>9448085873</v>
      </c>
      <c r="W5" s="8" t="s">
        <v>59</v>
      </c>
      <c r="X5" s="7" t="s">
        <v>30</v>
      </c>
      <c r="Y5" s="8" t="s">
        <v>31</v>
      </c>
      <c r="Z5" s="7" t="s">
        <v>46</v>
      </c>
      <c r="AA5" s="8" t="s">
        <v>47</v>
      </c>
      <c r="AB5" s="9">
        <f t="shared" si="0"/>
        <v>0.23604</v>
      </c>
    </row>
    <row r="6" spans="1:28" x14ac:dyDescent="0.35">
      <c r="A6" s="4">
        <v>5601</v>
      </c>
      <c r="B6" s="5" t="s">
        <v>32</v>
      </c>
      <c r="C6" s="6">
        <v>43591</v>
      </c>
      <c r="D6" s="7">
        <v>181</v>
      </c>
      <c r="E6" s="8" t="s">
        <v>50</v>
      </c>
      <c r="F6" s="7" t="s">
        <v>60</v>
      </c>
      <c r="G6" s="8" t="s">
        <v>61</v>
      </c>
      <c r="H6" s="7" t="str">
        <f>"000043"</f>
        <v>000043</v>
      </c>
      <c r="I6" s="6">
        <v>42885</v>
      </c>
      <c r="J6" s="7" t="str">
        <f>"000007"</f>
        <v>000007</v>
      </c>
      <c r="K6" s="6">
        <v>42971</v>
      </c>
      <c r="L6" s="7" t="str">
        <f>"000013"</f>
        <v>000013</v>
      </c>
      <c r="M6" s="6">
        <v>42978</v>
      </c>
      <c r="N6" s="7">
        <v>17</v>
      </c>
      <c r="O6" s="7" t="str">
        <f>"001300"</f>
        <v>001300</v>
      </c>
      <c r="P6" s="6">
        <v>43587</v>
      </c>
      <c r="Q6" s="9">
        <v>21.182200000000002</v>
      </c>
      <c r="R6" s="9">
        <v>2.3451499999999998</v>
      </c>
      <c r="S6" s="9">
        <v>18.837050000000001</v>
      </c>
      <c r="T6" s="7">
        <v>37</v>
      </c>
      <c r="U6" s="6">
        <v>43591</v>
      </c>
      <c r="V6" s="7">
        <v>9341337834</v>
      </c>
      <c r="W6" s="8" t="s">
        <v>48</v>
      </c>
      <c r="X6" s="7" t="s">
        <v>30</v>
      </c>
      <c r="Y6" s="8" t="s">
        <v>31</v>
      </c>
      <c r="Z6" s="7" t="s">
        <v>46</v>
      </c>
      <c r="AA6" s="8" t="s">
        <v>47</v>
      </c>
      <c r="AB6" s="9">
        <f t="shared" si="0"/>
        <v>0.21182200000000001</v>
      </c>
    </row>
    <row r="7" spans="1:28" x14ac:dyDescent="0.35">
      <c r="A7" s="4">
        <v>5602</v>
      </c>
      <c r="B7" s="5" t="s">
        <v>32</v>
      </c>
      <c r="C7" s="6">
        <v>43591</v>
      </c>
      <c r="D7" s="7">
        <v>181</v>
      </c>
      <c r="E7" s="8" t="s">
        <v>50</v>
      </c>
      <c r="F7" s="7" t="s">
        <v>62</v>
      </c>
      <c r="G7" s="8" t="s">
        <v>63</v>
      </c>
      <c r="H7" s="7" t="str">
        <f>"000067"</f>
        <v>000067</v>
      </c>
      <c r="I7" s="6">
        <v>43090</v>
      </c>
      <c r="J7" s="7" t="str">
        <f>"000073"</f>
        <v>000073</v>
      </c>
      <c r="K7" s="6">
        <v>43434</v>
      </c>
      <c r="L7" s="7" t="str">
        <f>"000145"</f>
        <v>000145</v>
      </c>
      <c r="M7" s="6">
        <v>43434</v>
      </c>
      <c r="N7" s="7">
        <v>16</v>
      </c>
      <c r="O7" s="7" t="str">
        <f>"001238"</f>
        <v>001238</v>
      </c>
      <c r="P7" s="6">
        <v>43587</v>
      </c>
      <c r="Q7" s="9">
        <v>5.4962</v>
      </c>
      <c r="R7" s="9">
        <v>0.65974999999999995</v>
      </c>
      <c r="S7" s="9">
        <v>4.8364500000000001</v>
      </c>
      <c r="T7" s="7">
        <v>39</v>
      </c>
      <c r="U7" s="6">
        <v>43591</v>
      </c>
      <c r="V7" s="7">
        <v>9916559301</v>
      </c>
      <c r="W7" s="8" t="s">
        <v>64</v>
      </c>
      <c r="X7" s="7" t="s">
        <v>35</v>
      </c>
      <c r="Y7" s="8" t="s">
        <v>36</v>
      </c>
      <c r="Z7" s="7" t="s">
        <v>46</v>
      </c>
      <c r="AA7" s="8" t="s">
        <v>47</v>
      </c>
      <c r="AB7" s="9">
        <f t="shared" si="0"/>
        <v>5.4961999999999997E-2</v>
      </c>
    </row>
    <row r="8" spans="1:28" x14ac:dyDescent="0.35">
      <c r="A8" s="4">
        <v>5603</v>
      </c>
      <c r="B8" s="5" t="s">
        <v>32</v>
      </c>
      <c r="C8" s="6">
        <v>43603</v>
      </c>
      <c r="D8" s="7">
        <v>181</v>
      </c>
      <c r="E8" s="8" t="s">
        <v>50</v>
      </c>
      <c r="F8" s="7" t="s">
        <v>65</v>
      </c>
      <c r="G8" s="8" t="s">
        <v>66</v>
      </c>
      <c r="H8" s="7" t="str">
        <f>"000002"</f>
        <v>000002</v>
      </c>
      <c r="I8" s="6">
        <v>42948</v>
      </c>
      <c r="J8" s="7" t="str">
        <f>"000024"</f>
        <v>000024</v>
      </c>
      <c r="K8" s="6">
        <v>43021</v>
      </c>
      <c r="L8" s="7" t="str">
        <f>"000028"</f>
        <v>000028</v>
      </c>
      <c r="M8" s="6">
        <v>43024</v>
      </c>
      <c r="N8" s="7">
        <v>17</v>
      </c>
      <c r="O8" s="7" t="str">
        <f>"001684"</f>
        <v>001684</v>
      </c>
      <c r="P8" s="6">
        <v>43602</v>
      </c>
      <c r="Q8" s="9">
        <v>55.975999999999999</v>
      </c>
      <c r="R8" s="9">
        <v>6.3731</v>
      </c>
      <c r="S8" s="9">
        <v>49.602899999999998</v>
      </c>
      <c r="T8" s="7">
        <v>50</v>
      </c>
      <c r="U8" s="6">
        <v>43603</v>
      </c>
      <c r="V8" s="7">
        <v>9448085873</v>
      </c>
      <c r="W8" s="8" t="s">
        <v>59</v>
      </c>
      <c r="X8" s="7" t="s">
        <v>42</v>
      </c>
      <c r="Y8" s="8" t="s">
        <v>43</v>
      </c>
      <c r="Z8" s="7" t="s">
        <v>46</v>
      </c>
      <c r="AA8" s="8" t="s">
        <v>47</v>
      </c>
      <c r="AB8" s="9">
        <f t="shared" si="0"/>
        <v>0.55976000000000004</v>
      </c>
    </row>
    <row r="9" spans="1:28" x14ac:dyDescent="0.35">
      <c r="A9" s="4">
        <v>5604</v>
      </c>
      <c r="B9" s="5" t="s">
        <v>32</v>
      </c>
      <c r="C9" s="6">
        <v>43609</v>
      </c>
      <c r="D9" s="7">
        <v>181</v>
      </c>
      <c r="E9" s="8" t="s">
        <v>50</v>
      </c>
      <c r="F9" s="7" t="s">
        <v>67</v>
      </c>
      <c r="G9" s="8" t="s">
        <v>68</v>
      </c>
      <c r="H9" s="7" t="str">
        <f>"000041"</f>
        <v>000041</v>
      </c>
      <c r="I9" s="6">
        <v>42885</v>
      </c>
      <c r="J9" s="7" t="str">
        <f>"000015"</f>
        <v>000015</v>
      </c>
      <c r="K9" s="6">
        <v>42991</v>
      </c>
      <c r="L9" s="7" t="str">
        <f>"000045"</f>
        <v>000045</v>
      </c>
      <c r="M9" s="6">
        <v>43039</v>
      </c>
      <c r="N9" s="7">
        <v>17</v>
      </c>
      <c r="O9" s="7" t="str">
        <f>"001943"</f>
        <v>001943</v>
      </c>
      <c r="P9" s="6">
        <v>43607</v>
      </c>
      <c r="Q9" s="9">
        <v>18.4345</v>
      </c>
      <c r="R9" s="9">
        <v>2.0226000000000002</v>
      </c>
      <c r="S9" s="9">
        <v>16.411899999999999</v>
      </c>
      <c r="T9" s="7">
        <v>57</v>
      </c>
      <c r="U9" s="6">
        <v>43609</v>
      </c>
      <c r="V9" s="7">
        <v>9880329333</v>
      </c>
      <c r="W9" s="8" t="s">
        <v>69</v>
      </c>
      <c r="X9" s="7" t="s">
        <v>30</v>
      </c>
      <c r="Y9" s="8" t="s">
        <v>31</v>
      </c>
      <c r="Z9" s="7" t="s">
        <v>46</v>
      </c>
      <c r="AA9" s="8" t="s">
        <v>47</v>
      </c>
      <c r="AB9" s="9">
        <f t="shared" si="0"/>
        <v>0.18434500000000001</v>
      </c>
    </row>
    <row r="10" spans="1:28" x14ac:dyDescent="0.35">
      <c r="A10" s="4">
        <v>5605</v>
      </c>
      <c r="B10" s="5" t="s">
        <v>32</v>
      </c>
      <c r="C10" s="6">
        <v>43610</v>
      </c>
      <c r="D10" s="7">
        <v>181</v>
      </c>
      <c r="E10" s="8" t="s">
        <v>50</v>
      </c>
      <c r="F10" s="7" t="s">
        <v>70</v>
      </c>
      <c r="G10" s="8" t="s">
        <v>71</v>
      </c>
      <c r="H10" s="7" t="str">
        <f>"000103"</f>
        <v>000103</v>
      </c>
      <c r="I10" s="6">
        <v>42667</v>
      </c>
      <c r="J10" s="7" t="str">
        <f>"000034"</f>
        <v>000034</v>
      </c>
      <c r="K10" s="6">
        <v>43136</v>
      </c>
      <c r="L10" s="7" t="str">
        <f>"000043"</f>
        <v>000043</v>
      </c>
      <c r="M10" s="6">
        <v>43136</v>
      </c>
      <c r="N10" s="7">
        <v>17</v>
      </c>
      <c r="O10" s="7" t="str">
        <f>"002062"</f>
        <v>002062</v>
      </c>
      <c r="P10" s="6">
        <v>43609</v>
      </c>
      <c r="Q10" s="9">
        <v>19.946809999999999</v>
      </c>
      <c r="R10" s="9">
        <v>1.61575</v>
      </c>
      <c r="S10" s="9">
        <v>18.331060000000001</v>
      </c>
      <c r="T10" s="7">
        <v>59</v>
      </c>
      <c r="U10" s="6">
        <v>43610</v>
      </c>
      <c r="V10" s="7">
        <v>9900051631</v>
      </c>
      <c r="W10" s="8" t="s">
        <v>37</v>
      </c>
      <c r="X10" s="7" t="s">
        <v>72</v>
      </c>
      <c r="Y10" s="8" t="s">
        <v>73</v>
      </c>
      <c r="Z10" s="7" t="s">
        <v>40</v>
      </c>
      <c r="AA10" s="8" t="s">
        <v>41</v>
      </c>
      <c r="AB10" s="9">
        <f t="shared" si="0"/>
        <v>0.19946809999999998</v>
      </c>
    </row>
    <row r="11" spans="1:28" x14ac:dyDescent="0.35">
      <c r="A11" s="4">
        <v>5606</v>
      </c>
      <c r="B11" s="5" t="s">
        <v>32</v>
      </c>
      <c r="C11" s="6">
        <v>43610</v>
      </c>
      <c r="D11" s="7">
        <v>181</v>
      </c>
      <c r="E11" s="8" t="s">
        <v>50</v>
      </c>
      <c r="F11" s="7" t="s">
        <v>74</v>
      </c>
      <c r="G11" s="8" t="s">
        <v>75</v>
      </c>
      <c r="H11" s="7" t="str">
        <f>"000102"</f>
        <v>000102</v>
      </c>
      <c r="I11" s="6">
        <v>42667</v>
      </c>
      <c r="J11" s="7" t="str">
        <f>"000035"</f>
        <v>000035</v>
      </c>
      <c r="K11" s="6">
        <v>43136</v>
      </c>
      <c r="L11" s="7" t="str">
        <f>"000044"</f>
        <v>000044</v>
      </c>
      <c r="M11" s="6">
        <v>43136</v>
      </c>
      <c r="N11" s="7">
        <v>17</v>
      </c>
      <c r="O11" s="7" t="str">
        <f>"002063"</f>
        <v>002063</v>
      </c>
      <c r="P11" s="6">
        <v>43609</v>
      </c>
      <c r="Q11" s="9">
        <v>19.883330000000001</v>
      </c>
      <c r="R11" s="9">
        <v>1.6106499999999999</v>
      </c>
      <c r="S11" s="9">
        <v>18.272680000000001</v>
      </c>
      <c r="T11" s="7">
        <v>59</v>
      </c>
      <c r="U11" s="6">
        <v>43610</v>
      </c>
      <c r="V11" s="7">
        <v>9900051631</v>
      </c>
      <c r="W11" s="8" t="s">
        <v>37</v>
      </c>
      <c r="X11" s="7" t="s">
        <v>72</v>
      </c>
      <c r="Y11" s="8" t="s">
        <v>73</v>
      </c>
      <c r="Z11" s="7" t="s">
        <v>40</v>
      </c>
      <c r="AA11" s="8" t="s">
        <v>41</v>
      </c>
      <c r="AB11" s="9">
        <f t="shared" si="0"/>
        <v>0.19883330000000002</v>
      </c>
    </row>
    <row r="12" spans="1:28" x14ac:dyDescent="0.35">
      <c r="A12" s="4">
        <v>5607</v>
      </c>
      <c r="B12" s="5" t="s">
        <v>32</v>
      </c>
      <c r="C12" s="6">
        <v>43615</v>
      </c>
      <c r="D12" s="7">
        <v>181</v>
      </c>
      <c r="E12" s="8" t="s">
        <v>50</v>
      </c>
      <c r="F12" s="7" t="s">
        <v>76</v>
      </c>
      <c r="G12" s="8" t="s">
        <v>77</v>
      </c>
      <c r="H12" s="7" t="str">
        <f>"000028"</f>
        <v>000028</v>
      </c>
      <c r="I12" s="6">
        <v>42996</v>
      </c>
      <c r="J12" s="7" t="str">
        <f>"000030"</f>
        <v>000030</v>
      </c>
      <c r="K12" s="6">
        <v>43049</v>
      </c>
      <c r="L12" s="7" t="str">
        <f>"000057"</f>
        <v>000057</v>
      </c>
      <c r="M12" s="6">
        <v>43053</v>
      </c>
      <c r="N12" s="7">
        <v>17</v>
      </c>
      <c r="O12" s="7" t="str">
        <f>"002153"</f>
        <v>002153</v>
      </c>
      <c r="P12" s="6">
        <v>43613</v>
      </c>
      <c r="Q12" s="9">
        <v>18.52</v>
      </c>
      <c r="R12" s="9">
        <v>2.0407000000000002</v>
      </c>
      <c r="S12" s="9">
        <v>16.479299999999999</v>
      </c>
      <c r="T12" s="7">
        <v>65</v>
      </c>
      <c r="U12" s="6">
        <v>43615</v>
      </c>
      <c r="V12" s="7">
        <v>9880329333</v>
      </c>
      <c r="W12" s="8" t="s">
        <v>69</v>
      </c>
      <c r="X12" s="7" t="s">
        <v>44</v>
      </c>
      <c r="Y12" s="8" t="s">
        <v>45</v>
      </c>
      <c r="Z12" s="7" t="s">
        <v>46</v>
      </c>
      <c r="AA12" s="8" t="s">
        <v>47</v>
      </c>
      <c r="AB12" s="9">
        <f t="shared" si="0"/>
        <v>0.1852</v>
      </c>
    </row>
    <row r="13" spans="1:28" x14ac:dyDescent="0.35">
      <c r="A13" s="4">
        <v>5608</v>
      </c>
      <c r="B13" s="5" t="s">
        <v>32</v>
      </c>
      <c r="C13" s="6">
        <v>43615</v>
      </c>
      <c r="D13" s="7">
        <v>181</v>
      </c>
      <c r="E13" s="8" t="s">
        <v>50</v>
      </c>
      <c r="F13" s="7" t="s">
        <v>78</v>
      </c>
      <c r="G13" s="8" t="s">
        <v>79</v>
      </c>
      <c r="H13" s="7" t="str">
        <f>"000005"</f>
        <v>000005</v>
      </c>
      <c r="I13" s="6">
        <v>42954</v>
      </c>
      <c r="J13" s="7" t="str">
        <f>"000033"</f>
        <v>000033</v>
      </c>
      <c r="K13" s="6">
        <v>43064</v>
      </c>
      <c r="L13" s="7" t="str">
        <f>"000063"</f>
        <v>000063</v>
      </c>
      <c r="M13" s="6">
        <v>43066</v>
      </c>
      <c r="N13" s="7">
        <v>17</v>
      </c>
      <c r="O13" s="7" t="str">
        <f>"002175"</f>
        <v>002175</v>
      </c>
      <c r="P13" s="6">
        <v>43613</v>
      </c>
      <c r="Q13" s="9">
        <v>39.734999999999999</v>
      </c>
      <c r="R13" s="9">
        <v>4.6106499999999997</v>
      </c>
      <c r="S13" s="9">
        <v>35.12435</v>
      </c>
      <c r="T13" s="7">
        <v>65</v>
      </c>
      <c r="U13" s="6">
        <v>43615</v>
      </c>
      <c r="V13" s="7">
        <v>9341337834</v>
      </c>
      <c r="W13" s="8" t="s">
        <v>80</v>
      </c>
      <c r="X13" s="7" t="s">
        <v>30</v>
      </c>
      <c r="Y13" s="8" t="s">
        <v>31</v>
      </c>
      <c r="Z13" s="7" t="s">
        <v>46</v>
      </c>
      <c r="AA13" s="8" t="s">
        <v>47</v>
      </c>
      <c r="AB13" s="9">
        <f t="shared" si="0"/>
        <v>0.39734999999999998</v>
      </c>
    </row>
    <row r="14" spans="1:28" x14ac:dyDescent="0.35">
      <c r="A14" s="4">
        <v>5609</v>
      </c>
      <c r="B14" s="5" t="s">
        <v>29</v>
      </c>
      <c r="C14" s="6">
        <v>43628</v>
      </c>
      <c r="D14" s="7">
        <v>181</v>
      </c>
      <c r="E14" s="8" t="s">
        <v>50</v>
      </c>
      <c r="F14" s="7" t="s">
        <v>81</v>
      </c>
      <c r="G14" s="8" t="s">
        <v>82</v>
      </c>
      <c r="H14" s="7" t="str">
        <f>"000016"</f>
        <v>000016</v>
      </c>
      <c r="I14" s="6">
        <v>42984</v>
      </c>
      <c r="J14" s="7" t="str">
        <f>"000035"</f>
        <v>000035</v>
      </c>
      <c r="K14" s="6">
        <v>43083</v>
      </c>
      <c r="L14" s="7" t="str">
        <f>"000071"</f>
        <v>000071</v>
      </c>
      <c r="M14" s="6">
        <v>43092</v>
      </c>
      <c r="N14" s="7">
        <v>17</v>
      </c>
      <c r="O14" s="7" t="str">
        <f>"002590"</f>
        <v>002590</v>
      </c>
      <c r="P14" s="6">
        <v>43627</v>
      </c>
      <c r="Q14" s="9">
        <v>18.172999999999998</v>
      </c>
      <c r="R14" s="9">
        <v>1.9719500000000001</v>
      </c>
      <c r="S14" s="9">
        <v>16.201049999999999</v>
      </c>
      <c r="T14" s="7">
        <v>76</v>
      </c>
      <c r="U14" s="6">
        <v>43628</v>
      </c>
      <c r="V14" s="7">
        <v>9740377357</v>
      </c>
      <c r="W14" s="8" t="s">
        <v>83</v>
      </c>
      <c r="X14" s="7" t="s">
        <v>44</v>
      </c>
      <c r="Y14" s="8" t="s">
        <v>45</v>
      </c>
      <c r="Z14" s="7" t="s">
        <v>46</v>
      </c>
      <c r="AA14" s="8" t="s">
        <v>47</v>
      </c>
      <c r="AB14" s="9">
        <v>0.18172999999999997</v>
      </c>
    </row>
    <row r="15" spans="1:28" x14ac:dyDescent="0.35">
      <c r="A15" s="4">
        <v>5610</v>
      </c>
      <c r="B15" s="5" t="s">
        <v>29</v>
      </c>
      <c r="C15" s="6">
        <v>43628</v>
      </c>
      <c r="D15" s="7">
        <v>181</v>
      </c>
      <c r="E15" s="8" t="s">
        <v>50</v>
      </c>
      <c r="F15" s="7" t="s">
        <v>84</v>
      </c>
      <c r="G15" s="8" t="s">
        <v>85</v>
      </c>
      <c r="H15" s="7" t="str">
        <f>"000017"</f>
        <v>000017</v>
      </c>
      <c r="I15" s="6">
        <v>42985</v>
      </c>
      <c r="J15" s="7" t="str">
        <f>"000036"</f>
        <v>000036</v>
      </c>
      <c r="K15" s="6">
        <v>43083</v>
      </c>
      <c r="L15" s="7" t="str">
        <f>"000072"</f>
        <v>000072</v>
      </c>
      <c r="M15" s="6">
        <v>43092</v>
      </c>
      <c r="N15" s="7">
        <v>17</v>
      </c>
      <c r="O15" s="7" t="str">
        <f>"002591"</f>
        <v>002591</v>
      </c>
      <c r="P15" s="6">
        <v>43627</v>
      </c>
      <c r="Q15" s="9">
        <v>18.1875</v>
      </c>
      <c r="R15" s="9">
        <v>1.9774499999999999</v>
      </c>
      <c r="S15" s="9">
        <v>16.210049999999999</v>
      </c>
      <c r="T15" s="7">
        <v>76</v>
      </c>
      <c r="U15" s="6">
        <v>43628</v>
      </c>
      <c r="V15" s="7">
        <v>9740377357</v>
      </c>
      <c r="W15" s="8" t="s">
        <v>83</v>
      </c>
      <c r="X15" s="7" t="s">
        <v>44</v>
      </c>
      <c r="Y15" s="8" t="s">
        <v>45</v>
      </c>
      <c r="Z15" s="7" t="s">
        <v>46</v>
      </c>
      <c r="AA15" s="8" t="s">
        <v>47</v>
      </c>
      <c r="AB15" s="9">
        <v>0.18187500000000001</v>
      </c>
    </row>
    <row r="16" spans="1:28" x14ac:dyDescent="0.35">
      <c r="A16" s="4">
        <v>5611</v>
      </c>
      <c r="B16" s="5" t="s">
        <v>29</v>
      </c>
      <c r="C16" s="6">
        <v>43628</v>
      </c>
      <c r="D16" s="7">
        <v>181</v>
      </c>
      <c r="E16" s="8" t="s">
        <v>50</v>
      </c>
      <c r="F16" s="7" t="s">
        <v>86</v>
      </c>
      <c r="G16" s="8" t="s">
        <v>87</v>
      </c>
      <c r="H16" s="7" t="str">
        <f>"000026"</f>
        <v>000026</v>
      </c>
      <c r="I16" s="6">
        <v>42993</v>
      </c>
      <c r="J16" s="7" t="str">
        <f>"000037"</f>
        <v>000037</v>
      </c>
      <c r="K16" s="6">
        <v>43083</v>
      </c>
      <c r="L16" s="7" t="str">
        <f>"000073"</f>
        <v>000073</v>
      </c>
      <c r="M16" s="6">
        <v>43092</v>
      </c>
      <c r="N16" s="7">
        <v>17</v>
      </c>
      <c r="O16" s="7" t="str">
        <f>"002592"</f>
        <v>002592</v>
      </c>
      <c r="P16" s="6">
        <v>43627</v>
      </c>
      <c r="Q16" s="9">
        <v>18.366499999999998</v>
      </c>
      <c r="R16" s="9">
        <v>1.9794</v>
      </c>
      <c r="S16" s="9">
        <v>16.3871</v>
      </c>
      <c r="T16" s="7">
        <v>76</v>
      </c>
      <c r="U16" s="6">
        <v>43628</v>
      </c>
      <c r="V16" s="7">
        <v>9740377357</v>
      </c>
      <c r="W16" s="8" t="s">
        <v>83</v>
      </c>
      <c r="X16" s="7" t="s">
        <v>44</v>
      </c>
      <c r="Y16" s="8" t="s">
        <v>45</v>
      </c>
      <c r="Z16" s="7" t="s">
        <v>46</v>
      </c>
      <c r="AA16" s="8" t="s">
        <v>47</v>
      </c>
      <c r="AB16" s="9">
        <v>0.18366499999999999</v>
      </c>
    </row>
    <row r="17" spans="1:28" x14ac:dyDescent="0.35">
      <c r="A17" s="4">
        <v>5612</v>
      </c>
      <c r="B17" s="5" t="s">
        <v>29</v>
      </c>
      <c r="C17" s="6">
        <v>43628</v>
      </c>
      <c r="D17" s="7">
        <v>181</v>
      </c>
      <c r="E17" s="8" t="s">
        <v>50</v>
      </c>
      <c r="F17" s="7" t="s">
        <v>88</v>
      </c>
      <c r="G17" s="8" t="s">
        <v>89</v>
      </c>
      <c r="H17" s="7" t="str">
        <f>"000018"</f>
        <v>000018</v>
      </c>
      <c r="I17" s="6">
        <v>42985</v>
      </c>
      <c r="J17" s="7" t="str">
        <f>"000038"</f>
        <v>000038</v>
      </c>
      <c r="K17" s="6">
        <v>43083</v>
      </c>
      <c r="L17" s="7" t="str">
        <f>"000074"</f>
        <v>000074</v>
      </c>
      <c r="M17" s="6">
        <v>43092</v>
      </c>
      <c r="N17" s="7">
        <v>17</v>
      </c>
      <c r="O17" s="7" t="str">
        <f>"002593"</f>
        <v>002593</v>
      </c>
      <c r="P17" s="6">
        <v>43627</v>
      </c>
      <c r="Q17" s="9">
        <v>17.966000000000001</v>
      </c>
      <c r="R17" s="9">
        <v>1.9470000000000001</v>
      </c>
      <c r="S17" s="9">
        <v>16.018999999999998</v>
      </c>
      <c r="T17" s="7">
        <v>76</v>
      </c>
      <c r="U17" s="6">
        <v>43628</v>
      </c>
      <c r="V17" s="7">
        <v>9740377357</v>
      </c>
      <c r="W17" s="8" t="s">
        <v>83</v>
      </c>
      <c r="X17" s="7" t="s">
        <v>44</v>
      </c>
      <c r="Y17" s="8" t="s">
        <v>45</v>
      </c>
      <c r="Z17" s="7" t="s">
        <v>46</v>
      </c>
      <c r="AA17" s="8" t="s">
        <v>47</v>
      </c>
      <c r="AB17" s="9">
        <v>0.17966000000000001</v>
      </c>
    </row>
    <row r="18" spans="1:28" x14ac:dyDescent="0.35">
      <c r="A18" s="4">
        <v>5613</v>
      </c>
      <c r="B18" s="5" t="s">
        <v>29</v>
      </c>
      <c r="C18" s="6">
        <v>43634</v>
      </c>
      <c r="D18" s="7">
        <v>181</v>
      </c>
      <c r="E18" s="8" t="s">
        <v>50</v>
      </c>
      <c r="F18" s="7" t="s">
        <v>90</v>
      </c>
      <c r="G18" s="8" t="s">
        <v>91</v>
      </c>
      <c r="H18" s="7" t="str">
        <f>"000070"</f>
        <v>000070</v>
      </c>
      <c r="I18" s="6">
        <v>43098</v>
      </c>
      <c r="J18" s="7" t="str">
        <f>"000043"</f>
        <v>000043</v>
      </c>
      <c r="K18" s="6">
        <v>43098</v>
      </c>
      <c r="L18" s="7" t="str">
        <f>"000076"</f>
        <v>000076</v>
      </c>
      <c r="M18" s="6">
        <v>43099</v>
      </c>
      <c r="N18" s="7">
        <v>17</v>
      </c>
      <c r="O18" s="7" t="str">
        <f>"002662"</f>
        <v>002662</v>
      </c>
      <c r="P18" s="6">
        <v>43628</v>
      </c>
      <c r="Q18" s="9">
        <v>19.324999999999999</v>
      </c>
      <c r="R18" s="9">
        <v>2.2970999999999999</v>
      </c>
      <c r="S18" s="9">
        <v>17.027899999999999</v>
      </c>
      <c r="T18" s="7">
        <v>88</v>
      </c>
      <c r="U18" s="6">
        <v>43634</v>
      </c>
      <c r="V18" s="7">
        <v>9341337834</v>
      </c>
      <c r="W18" s="8" t="s">
        <v>49</v>
      </c>
      <c r="X18" s="7" t="s">
        <v>30</v>
      </c>
      <c r="Y18" s="8" t="s">
        <v>31</v>
      </c>
      <c r="Z18" s="7" t="s">
        <v>46</v>
      </c>
      <c r="AA18" s="8" t="s">
        <v>47</v>
      </c>
      <c r="AB18" s="9">
        <v>0.19325000000000001</v>
      </c>
    </row>
    <row r="19" spans="1:28" x14ac:dyDescent="0.35">
      <c r="A19" s="4">
        <v>5614</v>
      </c>
      <c r="B19" s="5" t="s">
        <v>29</v>
      </c>
      <c r="C19" s="6">
        <v>43634</v>
      </c>
      <c r="D19" s="7">
        <v>181</v>
      </c>
      <c r="E19" s="8" t="s">
        <v>50</v>
      </c>
      <c r="F19" s="7" t="s">
        <v>92</v>
      </c>
      <c r="G19" s="8" t="s">
        <v>93</v>
      </c>
      <c r="H19" s="7" t="str">
        <f>"000024"</f>
        <v>000024</v>
      </c>
      <c r="I19" s="6">
        <v>42991</v>
      </c>
      <c r="J19" s="7" t="str">
        <f>"000044"</f>
        <v>000044</v>
      </c>
      <c r="K19" s="6">
        <v>43098</v>
      </c>
      <c r="L19" s="7" t="str">
        <f>"000078"</f>
        <v>000078</v>
      </c>
      <c r="M19" s="6">
        <v>43099</v>
      </c>
      <c r="N19" s="7">
        <v>17</v>
      </c>
      <c r="O19" s="7" t="str">
        <f>"002664"</f>
        <v>002664</v>
      </c>
      <c r="P19" s="6">
        <v>43628</v>
      </c>
      <c r="Q19" s="9">
        <v>27.375499999999999</v>
      </c>
      <c r="R19" s="9">
        <v>3.1934999999999998</v>
      </c>
      <c r="S19" s="9">
        <v>24.181999999999999</v>
      </c>
      <c r="T19" s="7">
        <v>88</v>
      </c>
      <c r="U19" s="6">
        <v>43634</v>
      </c>
      <c r="V19" s="7">
        <v>9986437766</v>
      </c>
      <c r="W19" s="8" t="s">
        <v>94</v>
      </c>
      <c r="X19" s="7" t="s">
        <v>95</v>
      </c>
      <c r="Y19" s="8" t="s">
        <v>96</v>
      </c>
      <c r="Z19" s="7" t="s">
        <v>46</v>
      </c>
      <c r="AA19" s="8" t="s">
        <v>47</v>
      </c>
      <c r="AB19" s="9">
        <v>0.27375499999999997</v>
      </c>
    </row>
    <row r="20" spans="1:28" x14ac:dyDescent="0.35">
      <c r="A20" s="4">
        <v>5615</v>
      </c>
      <c r="B20" s="5" t="s">
        <v>29</v>
      </c>
      <c r="C20" s="6">
        <v>43634</v>
      </c>
      <c r="D20" s="7">
        <v>181</v>
      </c>
      <c r="E20" s="8" t="s">
        <v>50</v>
      </c>
      <c r="F20" s="7" t="s">
        <v>97</v>
      </c>
      <c r="G20" s="8" t="s">
        <v>98</v>
      </c>
      <c r="H20" s="7" t="str">
        <f>"000023"</f>
        <v>000023</v>
      </c>
      <c r="I20" s="6">
        <v>42991</v>
      </c>
      <c r="J20" s="7" t="str">
        <f>"000045"</f>
        <v>000045</v>
      </c>
      <c r="K20" s="6">
        <v>43098</v>
      </c>
      <c r="L20" s="7" t="str">
        <f>"000079"</f>
        <v>000079</v>
      </c>
      <c r="M20" s="6">
        <v>43099</v>
      </c>
      <c r="N20" s="7">
        <v>17</v>
      </c>
      <c r="O20" s="7" t="str">
        <f>"002665"</f>
        <v>002665</v>
      </c>
      <c r="P20" s="6">
        <v>43628</v>
      </c>
      <c r="Q20" s="9">
        <v>27.491</v>
      </c>
      <c r="R20" s="9">
        <v>3.2133500000000002</v>
      </c>
      <c r="S20" s="9">
        <v>24.277650000000001</v>
      </c>
      <c r="T20" s="7">
        <v>88</v>
      </c>
      <c r="U20" s="6">
        <v>43634</v>
      </c>
      <c r="V20" s="7">
        <v>9986437766</v>
      </c>
      <c r="W20" s="8" t="s">
        <v>94</v>
      </c>
      <c r="X20" s="7" t="s">
        <v>95</v>
      </c>
      <c r="Y20" s="8" t="s">
        <v>96</v>
      </c>
      <c r="Z20" s="7" t="s">
        <v>46</v>
      </c>
      <c r="AA20" s="8" t="s">
        <v>47</v>
      </c>
      <c r="AB20" s="9">
        <v>0.27490999999999999</v>
      </c>
    </row>
    <row r="21" spans="1:28" x14ac:dyDescent="0.35">
      <c r="A21" s="4">
        <v>5616</v>
      </c>
      <c r="B21" s="5" t="s">
        <v>99</v>
      </c>
      <c r="C21" s="6">
        <v>43647</v>
      </c>
      <c r="D21" s="7">
        <v>181</v>
      </c>
      <c r="E21" s="8" t="s">
        <v>50</v>
      </c>
      <c r="F21" s="7" t="s">
        <v>100</v>
      </c>
      <c r="G21" s="10" t="s">
        <v>101</v>
      </c>
      <c r="H21" s="7" t="str">
        <f>"000014"</f>
        <v>000014</v>
      </c>
      <c r="I21" s="6">
        <v>42983</v>
      </c>
      <c r="J21" s="7" t="str">
        <f>"000048"</f>
        <v>000048</v>
      </c>
      <c r="K21" s="6">
        <v>43111</v>
      </c>
      <c r="L21" s="7" t="str">
        <f>"000083"</f>
        <v>000083</v>
      </c>
      <c r="M21" s="6">
        <v>43120</v>
      </c>
      <c r="N21" s="7">
        <v>17</v>
      </c>
      <c r="O21" s="7" t="str">
        <f>"003130"</f>
        <v>003130</v>
      </c>
      <c r="P21" s="6">
        <v>43643</v>
      </c>
      <c r="Q21" s="11">
        <v>18.57</v>
      </c>
      <c r="R21" s="11">
        <v>2.0691000000000002</v>
      </c>
      <c r="S21" s="11">
        <v>16.500900000000001</v>
      </c>
      <c r="T21" s="7">
        <v>96</v>
      </c>
      <c r="U21" s="6">
        <v>43647</v>
      </c>
      <c r="V21" s="7">
        <v>9740377357</v>
      </c>
      <c r="W21" s="10" t="s">
        <v>83</v>
      </c>
      <c r="X21" s="7" t="s">
        <v>95</v>
      </c>
      <c r="Y21" s="10" t="s">
        <v>96</v>
      </c>
      <c r="Z21" s="7" t="s">
        <v>46</v>
      </c>
      <c r="AA21" s="10" t="s">
        <v>47</v>
      </c>
      <c r="AB21" s="11">
        <f t="shared" ref="AB21:AB40" si="1">Q21/100</f>
        <v>0.1857</v>
      </c>
    </row>
    <row r="22" spans="1:28" x14ac:dyDescent="0.35">
      <c r="A22" s="4">
        <v>5617</v>
      </c>
      <c r="B22" s="5" t="s">
        <v>99</v>
      </c>
      <c r="C22" s="6">
        <v>43648</v>
      </c>
      <c r="D22" s="7">
        <v>181</v>
      </c>
      <c r="E22" s="8" t="s">
        <v>50</v>
      </c>
      <c r="F22" s="7" t="s">
        <v>51</v>
      </c>
      <c r="G22" s="10" t="s">
        <v>52</v>
      </c>
      <c r="H22" s="7" t="str">
        <f>"000013"</f>
        <v>000013</v>
      </c>
      <c r="I22" s="6">
        <v>42934</v>
      </c>
      <c r="J22" s="7" t="str">
        <f>"000195"</f>
        <v>000195</v>
      </c>
      <c r="K22" s="6">
        <v>43773</v>
      </c>
      <c r="L22" s="7" t="str">
        <f>"000193"</f>
        <v>000193</v>
      </c>
      <c r="M22" s="6">
        <v>43773</v>
      </c>
      <c r="N22" s="7">
        <v>16</v>
      </c>
      <c r="O22" s="7" t="str">
        <f>"006341"</f>
        <v>006341</v>
      </c>
      <c r="P22" s="6">
        <v>43791</v>
      </c>
      <c r="Q22" s="11">
        <v>3.7971699999999999</v>
      </c>
      <c r="R22" s="11">
        <v>0.30145</v>
      </c>
      <c r="S22" s="11">
        <v>3.4957199999999999</v>
      </c>
      <c r="T22" s="7">
        <v>102</v>
      </c>
      <c r="U22" s="6">
        <v>43648</v>
      </c>
      <c r="V22" s="7">
        <v>0</v>
      </c>
      <c r="W22" s="10" t="s">
        <v>53</v>
      </c>
      <c r="X22" s="7" t="s">
        <v>34</v>
      </c>
      <c r="Y22" s="10" t="s">
        <v>33</v>
      </c>
      <c r="Z22" s="7" t="s">
        <v>38</v>
      </c>
      <c r="AA22" s="10" t="s">
        <v>39</v>
      </c>
      <c r="AB22" s="11">
        <f t="shared" si="1"/>
        <v>3.7971699999999997E-2</v>
      </c>
    </row>
    <row r="23" spans="1:28" x14ac:dyDescent="0.35">
      <c r="A23" s="4">
        <v>5618</v>
      </c>
      <c r="B23" s="5" t="s">
        <v>99</v>
      </c>
      <c r="C23" s="6">
        <v>43664</v>
      </c>
      <c r="D23" s="7">
        <v>181</v>
      </c>
      <c r="E23" s="8" t="s">
        <v>50</v>
      </c>
      <c r="F23" s="7" t="s">
        <v>51</v>
      </c>
      <c r="G23" s="10" t="s">
        <v>52</v>
      </c>
      <c r="H23" s="7" t="str">
        <f>"000013"</f>
        <v>000013</v>
      </c>
      <c r="I23" s="6">
        <v>42934</v>
      </c>
      <c r="J23" s="7" t="str">
        <f>"000195"</f>
        <v>000195</v>
      </c>
      <c r="K23" s="6">
        <v>43773</v>
      </c>
      <c r="L23" s="7" t="str">
        <f>"000193"</f>
        <v>000193</v>
      </c>
      <c r="M23" s="6">
        <v>43773</v>
      </c>
      <c r="N23" s="7">
        <v>16</v>
      </c>
      <c r="O23" s="7" t="str">
        <f>"006341"</f>
        <v>006341</v>
      </c>
      <c r="P23" s="6">
        <v>43791</v>
      </c>
      <c r="Q23" s="11">
        <v>3.7971699999999999</v>
      </c>
      <c r="R23" s="11">
        <v>0.29144999999999999</v>
      </c>
      <c r="S23" s="11">
        <v>3.5057200000000002</v>
      </c>
      <c r="T23" s="7">
        <v>115</v>
      </c>
      <c r="U23" s="6">
        <v>43664</v>
      </c>
      <c r="V23" s="7">
        <v>0</v>
      </c>
      <c r="W23" s="10" t="s">
        <v>53</v>
      </c>
      <c r="X23" s="7" t="s">
        <v>34</v>
      </c>
      <c r="Y23" s="10" t="s">
        <v>33</v>
      </c>
      <c r="Z23" s="7" t="s">
        <v>38</v>
      </c>
      <c r="AA23" s="10" t="s">
        <v>39</v>
      </c>
      <c r="AB23" s="11">
        <f t="shared" si="1"/>
        <v>3.7971699999999997E-2</v>
      </c>
    </row>
    <row r="24" spans="1:28" x14ac:dyDescent="0.35">
      <c r="A24" s="4">
        <v>5619</v>
      </c>
      <c r="B24" s="5" t="s">
        <v>99</v>
      </c>
      <c r="C24" s="6">
        <v>43677</v>
      </c>
      <c r="D24" s="7">
        <v>181</v>
      </c>
      <c r="E24" s="8" t="s">
        <v>50</v>
      </c>
      <c r="F24" s="7" t="s">
        <v>102</v>
      </c>
      <c r="G24" s="10" t="s">
        <v>103</v>
      </c>
      <c r="H24" s="7" t="str">
        <f>"000111"</f>
        <v>000111</v>
      </c>
      <c r="I24" s="6">
        <v>42429</v>
      </c>
      <c r="J24" s="7" t="str">
        <f>"000071"</f>
        <v>000071</v>
      </c>
      <c r="K24" s="6">
        <v>43158</v>
      </c>
      <c r="L24" s="7" t="str">
        <f>"000127"</f>
        <v>000127</v>
      </c>
      <c r="M24" s="6">
        <v>43159</v>
      </c>
      <c r="N24" s="7">
        <v>13</v>
      </c>
      <c r="O24" s="7" t="str">
        <f>"003992"</f>
        <v>003992</v>
      </c>
      <c r="P24" s="6">
        <v>43671</v>
      </c>
      <c r="Q24" s="11">
        <v>18.03857</v>
      </c>
      <c r="R24" s="11">
        <v>2.6585700000000001</v>
      </c>
      <c r="S24" s="11">
        <v>15.38</v>
      </c>
      <c r="T24" s="7">
        <v>135</v>
      </c>
      <c r="U24" s="6">
        <v>43677</v>
      </c>
      <c r="V24" s="7">
        <v>9986697126</v>
      </c>
      <c r="W24" s="10" t="s">
        <v>37</v>
      </c>
      <c r="X24" s="7" t="s">
        <v>104</v>
      </c>
      <c r="Y24" s="10" t="s">
        <v>105</v>
      </c>
      <c r="Z24" s="7" t="s">
        <v>46</v>
      </c>
      <c r="AA24" s="10" t="s">
        <v>47</v>
      </c>
      <c r="AB24" s="11">
        <f t="shared" si="1"/>
        <v>0.18038570000000001</v>
      </c>
    </row>
    <row r="25" spans="1:28" x14ac:dyDescent="0.35">
      <c r="A25" s="4">
        <v>5620</v>
      </c>
      <c r="B25" s="5" t="s">
        <v>99</v>
      </c>
      <c r="C25" s="6">
        <v>43677</v>
      </c>
      <c r="D25" s="7">
        <v>181</v>
      </c>
      <c r="E25" s="8" t="s">
        <v>50</v>
      </c>
      <c r="F25" s="7" t="s">
        <v>106</v>
      </c>
      <c r="G25" s="10" t="s">
        <v>107</v>
      </c>
      <c r="H25" s="7" t="str">
        <f>"000115"</f>
        <v>000115</v>
      </c>
      <c r="I25" s="6">
        <v>42429</v>
      </c>
      <c r="J25" s="7" t="str">
        <f>"000072"</f>
        <v>000072</v>
      </c>
      <c r="K25" s="6">
        <v>43158</v>
      </c>
      <c r="L25" s="7" t="str">
        <f>"000128"</f>
        <v>000128</v>
      </c>
      <c r="M25" s="6">
        <v>43159</v>
      </c>
      <c r="N25" s="7">
        <v>13</v>
      </c>
      <c r="O25" s="7" t="str">
        <f>"003993"</f>
        <v>003993</v>
      </c>
      <c r="P25" s="6">
        <v>43671</v>
      </c>
      <c r="Q25" s="11">
        <v>19.47184</v>
      </c>
      <c r="R25" s="11">
        <v>2.8518400000000002</v>
      </c>
      <c r="S25" s="11">
        <v>16.62</v>
      </c>
      <c r="T25" s="7">
        <v>135</v>
      </c>
      <c r="U25" s="6">
        <v>43677</v>
      </c>
      <c r="V25" s="7">
        <v>9986697126</v>
      </c>
      <c r="W25" s="10" t="s">
        <v>37</v>
      </c>
      <c r="X25" s="7" t="s">
        <v>108</v>
      </c>
      <c r="Y25" s="10" t="s">
        <v>109</v>
      </c>
      <c r="Z25" s="7" t="s">
        <v>46</v>
      </c>
      <c r="AA25" s="10" t="s">
        <v>47</v>
      </c>
      <c r="AB25" s="11">
        <f t="shared" si="1"/>
        <v>0.19471840000000001</v>
      </c>
    </row>
    <row r="26" spans="1:28" x14ac:dyDescent="0.35">
      <c r="A26" s="4">
        <v>5621</v>
      </c>
      <c r="B26" s="5" t="s">
        <v>99</v>
      </c>
      <c r="C26" s="6">
        <v>43677</v>
      </c>
      <c r="D26" s="7">
        <v>181</v>
      </c>
      <c r="E26" s="8" t="s">
        <v>50</v>
      </c>
      <c r="F26" s="7" t="s">
        <v>110</v>
      </c>
      <c r="G26" s="10" t="s">
        <v>111</v>
      </c>
      <c r="H26" s="7" t="str">
        <f>"000117"</f>
        <v>000117</v>
      </c>
      <c r="I26" s="6">
        <v>42429</v>
      </c>
      <c r="J26" s="7" t="str">
        <f>"000070"</f>
        <v>000070</v>
      </c>
      <c r="K26" s="6">
        <v>43158</v>
      </c>
      <c r="L26" s="7" t="str">
        <f>"000126"</f>
        <v>000126</v>
      </c>
      <c r="M26" s="6">
        <v>43159</v>
      </c>
      <c r="N26" s="7">
        <v>13</v>
      </c>
      <c r="O26" s="7" t="str">
        <f>"003998"</f>
        <v>003998</v>
      </c>
      <c r="P26" s="6">
        <v>43671</v>
      </c>
      <c r="Q26" s="11">
        <v>18.58098</v>
      </c>
      <c r="R26" s="11">
        <v>2.7049799999999999</v>
      </c>
      <c r="S26" s="11">
        <v>15.875999999999999</v>
      </c>
      <c r="T26" s="7">
        <v>135</v>
      </c>
      <c r="U26" s="6">
        <v>43677</v>
      </c>
      <c r="V26" s="7">
        <v>9986697126</v>
      </c>
      <c r="W26" s="10" t="s">
        <v>37</v>
      </c>
      <c r="X26" s="7" t="s">
        <v>108</v>
      </c>
      <c r="Y26" s="10" t="s">
        <v>109</v>
      </c>
      <c r="Z26" s="7" t="s">
        <v>46</v>
      </c>
      <c r="AA26" s="10" t="s">
        <v>47</v>
      </c>
      <c r="AB26" s="11">
        <f t="shared" si="1"/>
        <v>0.1858098</v>
      </c>
    </row>
    <row r="27" spans="1:28" x14ac:dyDescent="0.35">
      <c r="A27" s="4">
        <v>5622</v>
      </c>
      <c r="B27" s="5" t="s">
        <v>99</v>
      </c>
      <c r="C27" s="6">
        <v>43677</v>
      </c>
      <c r="D27" s="7">
        <v>181</v>
      </c>
      <c r="E27" s="8" t="s">
        <v>50</v>
      </c>
      <c r="F27" s="7" t="s">
        <v>112</v>
      </c>
      <c r="G27" s="10" t="s">
        <v>113</v>
      </c>
      <c r="H27" s="7" t="str">
        <f>"000127"</f>
        <v>000127</v>
      </c>
      <c r="I27" s="6">
        <v>42459</v>
      </c>
      <c r="J27" s="7" t="str">
        <f>"000074"</f>
        <v>000074</v>
      </c>
      <c r="K27" s="6">
        <v>43158</v>
      </c>
      <c r="L27" s="7" t="str">
        <f>"000130"</f>
        <v>000130</v>
      </c>
      <c r="M27" s="6">
        <v>43159</v>
      </c>
      <c r="N27" s="7">
        <v>13</v>
      </c>
      <c r="O27" s="7" t="str">
        <f>"003999"</f>
        <v>003999</v>
      </c>
      <c r="P27" s="6">
        <v>43671</v>
      </c>
      <c r="Q27" s="11">
        <v>19.708259999999999</v>
      </c>
      <c r="R27" s="11">
        <v>2.9382600000000001</v>
      </c>
      <c r="S27" s="11">
        <v>16.77</v>
      </c>
      <c r="T27" s="7">
        <v>135</v>
      </c>
      <c r="U27" s="6">
        <v>43677</v>
      </c>
      <c r="V27" s="7">
        <v>9986697126</v>
      </c>
      <c r="W27" s="10" t="s">
        <v>114</v>
      </c>
      <c r="X27" s="7" t="s">
        <v>104</v>
      </c>
      <c r="Y27" s="10" t="s">
        <v>105</v>
      </c>
      <c r="Z27" s="7" t="s">
        <v>46</v>
      </c>
      <c r="AA27" s="10" t="s">
        <v>47</v>
      </c>
      <c r="AB27" s="11">
        <f t="shared" si="1"/>
        <v>0.1970826</v>
      </c>
    </row>
    <row r="28" spans="1:28" x14ac:dyDescent="0.35">
      <c r="A28" s="4">
        <v>5623</v>
      </c>
      <c r="B28" s="5" t="s">
        <v>99</v>
      </c>
      <c r="C28" s="6">
        <v>43677</v>
      </c>
      <c r="D28" s="7">
        <v>181</v>
      </c>
      <c r="E28" s="8" t="s">
        <v>50</v>
      </c>
      <c r="F28" s="7" t="s">
        <v>115</v>
      </c>
      <c r="G28" s="10" t="s">
        <v>116</v>
      </c>
      <c r="H28" s="7" t="str">
        <f>"000118"</f>
        <v>000118</v>
      </c>
      <c r="I28" s="6">
        <v>42429</v>
      </c>
      <c r="J28" s="7" t="str">
        <f>"000075"</f>
        <v>000075</v>
      </c>
      <c r="K28" s="6">
        <v>43158</v>
      </c>
      <c r="L28" s="7" t="str">
        <f>"000131"</f>
        <v>000131</v>
      </c>
      <c r="M28" s="6">
        <v>43159</v>
      </c>
      <c r="N28" s="7">
        <v>13</v>
      </c>
      <c r="O28" s="7" t="str">
        <f>"004000"</f>
        <v>004000</v>
      </c>
      <c r="P28" s="6">
        <v>43671</v>
      </c>
      <c r="Q28" s="11">
        <v>16.265540000000001</v>
      </c>
      <c r="R28" s="11">
        <v>2.41554</v>
      </c>
      <c r="S28" s="11">
        <v>13.85</v>
      </c>
      <c r="T28" s="7">
        <v>135</v>
      </c>
      <c r="U28" s="6">
        <v>43677</v>
      </c>
      <c r="V28" s="7">
        <v>9986697126</v>
      </c>
      <c r="W28" s="10" t="s">
        <v>37</v>
      </c>
      <c r="X28" s="7" t="s">
        <v>108</v>
      </c>
      <c r="Y28" s="10" t="s">
        <v>109</v>
      </c>
      <c r="Z28" s="7" t="s">
        <v>46</v>
      </c>
      <c r="AA28" s="10" t="s">
        <v>47</v>
      </c>
      <c r="AB28" s="11">
        <f t="shared" si="1"/>
        <v>0.16265540000000001</v>
      </c>
    </row>
    <row r="29" spans="1:28" x14ac:dyDescent="0.35">
      <c r="A29" s="4">
        <v>5624</v>
      </c>
      <c r="B29" s="5" t="s">
        <v>99</v>
      </c>
      <c r="C29" s="6">
        <v>43677</v>
      </c>
      <c r="D29" s="7">
        <v>181</v>
      </c>
      <c r="E29" s="8" t="s">
        <v>50</v>
      </c>
      <c r="F29" s="7" t="s">
        <v>117</v>
      </c>
      <c r="G29" s="10" t="s">
        <v>118</v>
      </c>
      <c r="H29" s="7" t="str">
        <f>"000119"</f>
        <v>000119</v>
      </c>
      <c r="I29" s="6">
        <v>42429</v>
      </c>
      <c r="J29" s="7" t="str">
        <f>"000076"</f>
        <v>000076</v>
      </c>
      <c r="K29" s="6">
        <v>43158</v>
      </c>
      <c r="L29" s="7" t="str">
        <f>"000132"</f>
        <v>000132</v>
      </c>
      <c r="M29" s="6">
        <v>43159</v>
      </c>
      <c r="N29" s="7">
        <v>13</v>
      </c>
      <c r="O29" s="7" t="str">
        <f>"004001"</f>
        <v>004001</v>
      </c>
      <c r="P29" s="6">
        <v>43671</v>
      </c>
      <c r="Q29" s="11">
        <v>19.395230000000002</v>
      </c>
      <c r="R29" s="11">
        <v>2.8492299999999999</v>
      </c>
      <c r="S29" s="11">
        <v>16.545999999999999</v>
      </c>
      <c r="T29" s="7">
        <v>135</v>
      </c>
      <c r="U29" s="6">
        <v>43677</v>
      </c>
      <c r="V29" s="7">
        <v>9986697126</v>
      </c>
      <c r="W29" s="10" t="s">
        <v>37</v>
      </c>
      <c r="X29" s="7" t="s">
        <v>108</v>
      </c>
      <c r="Y29" s="10" t="s">
        <v>109</v>
      </c>
      <c r="Z29" s="7" t="s">
        <v>46</v>
      </c>
      <c r="AA29" s="10" t="s">
        <v>47</v>
      </c>
      <c r="AB29" s="11">
        <f t="shared" si="1"/>
        <v>0.19395230000000002</v>
      </c>
    </row>
    <row r="30" spans="1:28" x14ac:dyDescent="0.35">
      <c r="A30" s="4">
        <v>5625</v>
      </c>
      <c r="B30" s="5" t="s">
        <v>99</v>
      </c>
      <c r="C30" s="6">
        <v>43677</v>
      </c>
      <c r="D30" s="7">
        <v>181</v>
      </c>
      <c r="E30" s="8" t="s">
        <v>50</v>
      </c>
      <c r="F30" s="7" t="s">
        <v>119</v>
      </c>
      <c r="G30" s="10" t="s">
        <v>120</v>
      </c>
      <c r="H30" s="7" t="str">
        <f>"000120"</f>
        <v>000120</v>
      </c>
      <c r="I30" s="6">
        <v>42429</v>
      </c>
      <c r="J30" s="7" t="str">
        <f>"000077"</f>
        <v>000077</v>
      </c>
      <c r="K30" s="6">
        <v>43158</v>
      </c>
      <c r="L30" s="7" t="str">
        <f>"000133"</f>
        <v>000133</v>
      </c>
      <c r="M30" s="6">
        <v>43159</v>
      </c>
      <c r="N30" s="7">
        <v>13</v>
      </c>
      <c r="O30" s="7" t="str">
        <f>"004002"</f>
        <v>004002</v>
      </c>
      <c r="P30" s="6">
        <v>43671</v>
      </c>
      <c r="Q30" s="11">
        <v>19.48001</v>
      </c>
      <c r="R30" s="11">
        <v>2.8640099999999999</v>
      </c>
      <c r="S30" s="11">
        <v>16.616</v>
      </c>
      <c r="T30" s="7">
        <v>135</v>
      </c>
      <c r="U30" s="6">
        <v>43677</v>
      </c>
      <c r="V30" s="7">
        <v>9986697126</v>
      </c>
      <c r="W30" s="10" t="s">
        <v>37</v>
      </c>
      <c r="X30" s="7" t="s">
        <v>108</v>
      </c>
      <c r="Y30" s="10" t="s">
        <v>109</v>
      </c>
      <c r="Z30" s="7" t="s">
        <v>46</v>
      </c>
      <c r="AA30" s="10" t="s">
        <v>47</v>
      </c>
      <c r="AB30" s="11">
        <f t="shared" si="1"/>
        <v>0.1948001</v>
      </c>
    </row>
    <row r="31" spans="1:28" x14ac:dyDescent="0.35">
      <c r="A31" s="4">
        <v>5626</v>
      </c>
      <c r="B31" s="5" t="s">
        <v>99</v>
      </c>
      <c r="C31" s="6">
        <v>43677</v>
      </c>
      <c r="D31" s="7">
        <v>181</v>
      </c>
      <c r="E31" s="8" t="s">
        <v>50</v>
      </c>
      <c r="F31" s="7" t="s">
        <v>121</v>
      </c>
      <c r="G31" s="10" t="s">
        <v>122</v>
      </c>
      <c r="H31" s="7" t="str">
        <f>"000121"</f>
        <v>000121</v>
      </c>
      <c r="I31" s="6">
        <v>42429</v>
      </c>
      <c r="J31" s="7" t="str">
        <f>"000078"</f>
        <v>000078</v>
      </c>
      <c r="K31" s="6">
        <v>43158</v>
      </c>
      <c r="L31" s="7" t="str">
        <f>"000134"</f>
        <v>000134</v>
      </c>
      <c r="M31" s="6">
        <v>43159</v>
      </c>
      <c r="N31" s="7">
        <v>13</v>
      </c>
      <c r="O31" s="7" t="str">
        <f>"004003"</f>
        <v>004003</v>
      </c>
      <c r="P31" s="6">
        <v>43671</v>
      </c>
      <c r="Q31" s="11">
        <v>17.612929999999999</v>
      </c>
      <c r="R31" s="11">
        <v>2.64893</v>
      </c>
      <c r="S31" s="11">
        <v>14.964</v>
      </c>
      <c r="T31" s="7">
        <v>135</v>
      </c>
      <c r="U31" s="6">
        <v>43677</v>
      </c>
      <c r="V31" s="7">
        <v>9986697126</v>
      </c>
      <c r="W31" s="10" t="s">
        <v>37</v>
      </c>
      <c r="X31" s="7" t="s">
        <v>108</v>
      </c>
      <c r="Y31" s="10" t="s">
        <v>109</v>
      </c>
      <c r="Z31" s="7" t="s">
        <v>46</v>
      </c>
      <c r="AA31" s="10" t="s">
        <v>47</v>
      </c>
      <c r="AB31" s="11">
        <f t="shared" si="1"/>
        <v>0.17612929999999999</v>
      </c>
    </row>
    <row r="32" spans="1:28" x14ac:dyDescent="0.35">
      <c r="A32" s="4">
        <v>5627</v>
      </c>
      <c r="B32" s="5" t="s">
        <v>99</v>
      </c>
      <c r="C32" s="6">
        <v>43677</v>
      </c>
      <c r="D32" s="7">
        <v>181</v>
      </c>
      <c r="E32" s="8" t="s">
        <v>50</v>
      </c>
      <c r="F32" s="7" t="s">
        <v>123</v>
      </c>
      <c r="G32" s="10" t="s">
        <v>124</v>
      </c>
      <c r="H32" s="7" t="str">
        <f>"000116"</f>
        <v>000116</v>
      </c>
      <c r="I32" s="6">
        <v>42429</v>
      </c>
      <c r="J32" s="7" t="str">
        <f>"000079"</f>
        <v>000079</v>
      </c>
      <c r="K32" s="6">
        <v>43158</v>
      </c>
      <c r="L32" s="7" t="str">
        <f>"000135"</f>
        <v>000135</v>
      </c>
      <c r="M32" s="6">
        <v>43159</v>
      </c>
      <c r="N32" s="7">
        <v>13</v>
      </c>
      <c r="O32" s="7" t="str">
        <f>"004004"</f>
        <v>004004</v>
      </c>
      <c r="P32" s="6">
        <v>43671</v>
      </c>
      <c r="Q32" s="11">
        <v>11.936970000000001</v>
      </c>
      <c r="R32" s="11">
        <v>1.7549699999999999</v>
      </c>
      <c r="S32" s="11">
        <v>10.182</v>
      </c>
      <c r="T32" s="7">
        <v>135</v>
      </c>
      <c r="U32" s="6">
        <v>43677</v>
      </c>
      <c r="V32" s="7">
        <v>9986697126</v>
      </c>
      <c r="W32" s="10" t="s">
        <v>37</v>
      </c>
      <c r="X32" s="7" t="s">
        <v>108</v>
      </c>
      <c r="Y32" s="10" t="s">
        <v>109</v>
      </c>
      <c r="Z32" s="7" t="s">
        <v>46</v>
      </c>
      <c r="AA32" s="10" t="s">
        <v>47</v>
      </c>
      <c r="AB32" s="11">
        <f t="shared" si="1"/>
        <v>0.11936970000000001</v>
      </c>
    </row>
    <row r="33" spans="1:28" x14ac:dyDescent="0.35">
      <c r="A33" s="4">
        <v>5628</v>
      </c>
      <c r="B33" s="5" t="s">
        <v>99</v>
      </c>
      <c r="C33" s="6">
        <v>43677</v>
      </c>
      <c r="D33" s="7">
        <v>181</v>
      </c>
      <c r="E33" s="8" t="s">
        <v>50</v>
      </c>
      <c r="F33" s="7" t="s">
        <v>125</v>
      </c>
      <c r="G33" s="10" t="s">
        <v>126</v>
      </c>
      <c r="H33" s="7" t="str">
        <f>"000114"</f>
        <v>000114</v>
      </c>
      <c r="I33" s="6">
        <v>42429</v>
      </c>
      <c r="J33" s="7" t="str">
        <f>"000080"</f>
        <v>000080</v>
      </c>
      <c r="K33" s="6">
        <v>43158</v>
      </c>
      <c r="L33" s="7" t="str">
        <f>"000136"</f>
        <v>000136</v>
      </c>
      <c r="M33" s="6">
        <v>43159</v>
      </c>
      <c r="N33" s="7">
        <v>13</v>
      </c>
      <c r="O33" s="7" t="str">
        <f>"004005"</f>
        <v>004005</v>
      </c>
      <c r="P33" s="6">
        <v>43671</v>
      </c>
      <c r="Q33" s="11">
        <v>19.44979</v>
      </c>
      <c r="R33" s="11">
        <v>2.84979</v>
      </c>
      <c r="S33" s="11">
        <v>16.600000000000001</v>
      </c>
      <c r="T33" s="7">
        <v>135</v>
      </c>
      <c r="U33" s="6">
        <v>43677</v>
      </c>
      <c r="V33" s="7">
        <v>9986697126</v>
      </c>
      <c r="W33" s="10" t="s">
        <v>37</v>
      </c>
      <c r="X33" s="7" t="s">
        <v>108</v>
      </c>
      <c r="Y33" s="10" t="s">
        <v>109</v>
      </c>
      <c r="Z33" s="7" t="s">
        <v>46</v>
      </c>
      <c r="AA33" s="10" t="s">
        <v>47</v>
      </c>
      <c r="AB33" s="11">
        <f t="shared" si="1"/>
        <v>0.1944979</v>
      </c>
    </row>
    <row r="34" spans="1:28" x14ac:dyDescent="0.35">
      <c r="A34" s="4">
        <v>5629</v>
      </c>
      <c r="B34" s="5" t="s">
        <v>99</v>
      </c>
      <c r="C34" s="6">
        <v>43677</v>
      </c>
      <c r="D34" s="7">
        <v>181</v>
      </c>
      <c r="E34" s="8" t="s">
        <v>50</v>
      </c>
      <c r="F34" s="7" t="s">
        <v>127</v>
      </c>
      <c r="G34" s="10" t="s">
        <v>128</v>
      </c>
      <c r="H34" s="7" t="str">
        <f>"000112"</f>
        <v>000112</v>
      </c>
      <c r="I34" s="6">
        <v>42429</v>
      </c>
      <c r="J34" s="7" t="str">
        <f>"000081"</f>
        <v>000081</v>
      </c>
      <c r="K34" s="6">
        <v>43158</v>
      </c>
      <c r="L34" s="7" t="str">
        <f>"000137"</f>
        <v>000137</v>
      </c>
      <c r="M34" s="6">
        <v>43159</v>
      </c>
      <c r="N34" s="7">
        <v>13</v>
      </c>
      <c r="O34" s="7" t="str">
        <f>"004006"</f>
        <v>004006</v>
      </c>
      <c r="P34" s="6">
        <v>43671</v>
      </c>
      <c r="Q34" s="11">
        <v>19.10369</v>
      </c>
      <c r="R34" s="11">
        <v>2.8136899999999998</v>
      </c>
      <c r="S34" s="11">
        <v>16.29</v>
      </c>
      <c r="T34" s="7">
        <v>135</v>
      </c>
      <c r="U34" s="6">
        <v>43677</v>
      </c>
      <c r="V34" s="7">
        <v>9986697126</v>
      </c>
      <c r="W34" s="10" t="s">
        <v>37</v>
      </c>
      <c r="X34" s="7" t="s">
        <v>108</v>
      </c>
      <c r="Y34" s="10" t="s">
        <v>109</v>
      </c>
      <c r="Z34" s="7" t="s">
        <v>46</v>
      </c>
      <c r="AA34" s="10" t="s">
        <v>47</v>
      </c>
      <c r="AB34" s="11">
        <f t="shared" si="1"/>
        <v>0.19103690000000001</v>
      </c>
    </row>
    <row r="35" spans="1:28" x14ac:dyDescent="0.35">
      <c r="A35" s="4">
        <v>5630</v>
      </c>
      <c r="B35" s="5" t="s">
        <v>129</v>
      </c>
      <c r="C35" s="6">
        <v>43684</v>
      </c>
      <c r="D35" s="7">
        <v>181</v>
      </c>
      <c r="E35" s="8" t="s">
        <v>50</v>
      </c>
      <c r="F35" s="7" t="s">
        <v>130</v>
      </c>
      <c r="G35" s="10" t="s">
        <v>131</v>
      </c>
      <c r="H35" s="7" t="str">
        <f>"000113"</f>
        <v>000113</v>
      </c>
      <c r="I35" s="6">
        <v>42429</v>
      </c>
      <c r="J35" s="7" t="str">
        <f>"000073"</f>
        <v>000073</v>
      </c>
      <c r="K35" s="6">
        <v>43158</v>
      </c>
      <c r="L35" s="7" t="str">
        <f>"000129"</f>
        <v>000129</v>
      </c>
      <c r="M35" s="6">
        <v>43159</v>
      </c>
      <c r="N35" s="7">
        <v>13</v>
      </c>
      <c r="O35" s="7" t="str">
        <f>"004135"</f>
        <v>004135</v>
      </c>
      <c r="P35" s="6">
        <v>43677</v>
      </c>
      <c r="Q35" s="11">
        <v>16.672190000000001</v>
      </c>
      <c r="R35" s="11">
        <v>2.47519</v>
      </c>
      <c r="S35" s="11">
        <v>14.196999999999999</v>
      </c>
      <c r="T35" s="7">
        <v>144</v>
      </c>
      <c r="U35" s="6">
        <v>43684</v>
      </c>
      <c r="V35" s="7">
        <v>9986697126</v>
      </c>
      <c r="W35" s="10" t="s">
        <v>37</v>
      </c>
      <c r="X35" s="7" t="s">
        <v>104</v>
      </c>
      <c r="Y35" s="10" t="s">
        <v>105</v>
      </c>
      <c r="Z35" s="7" t="s">
        <v>46</v>
      </c>
      <c r="AA35" s="10" t="s">
        <v>47</v>
      </c>
      <c r="AB35" s="11">
        <f t="shared" si="1"/>
        <v>0.16672190000000001</v>
      </c>
    </row>
    <row r="36" spans="1:28" x14ac:dyDescent="0.35">
      <c r="A36" s="4">
        <v>5631</v>
      </c>
      <c r="B36" s="5" t="s">
        <v>132</v>
      </c>
      <c r="C36" s="6">
        <v>43717</v>
      </c>
      <c r="D36" s="7">
        <v>181</v>
      </c>
      <c r="E36" s="8" t="s">
        <v>50</v>
      </c>
      <c r="F36" s="7" t="s">
        <v>133</v>
      </c>
      <c r="G36" s="10" t="s">
        <v>134</v>
      </c>
      <c r="H36" s="7" t="str">
        <f>"000029"</f>
        <v>000029</v>
      </c>
      <c r="I36" s="6">
        <v>43606</v>
      </c>
      <c r="J36" s="7" t="str">
        <f>"000055"</f>
        <v>000055</v>
      </c>
      <c r="K36" s="6">
        <v>43669</v>
      </c>
      <c r="L36" s="7" t="str">
        <f>"000115"</f>
        <v>000115</v>
      </c>
      <c r="M36" s="6">
        <v>43672</v>
      </c>
      <c r="N36" s="7">
        <v>19</v>
      </c>
      <c r="O36" s="7" t="str">
        <f>"004796"</f>
        <v>004796</v>
      </c>
      <c r="P36" s="6">
        <v>43704</v>
      </c>
      <c r="Q36" s="11">
        <v>4.8817000000000004</v>
      </c>
      <c r="R36" s="11">
        <v>0.49619999999999997</v>
      </c>
      <c r="S36" s="11">
        <v>4.3855000000000004</v>
      </c>
      <c r="T36" s="7">
        <v>178</v>
      </c>
      <c r="U36" s="6">
        <v>43717</v>
      </c>
      <c r="V36" s="7">
        <v>9019392999</v>
      </c>
      <c r="W36" s="10" t="s">
        <v>135</v>
      </c>
      <c r="X36" s="7" t="s">
        <v>136</v>
      </c>
      <c r="Y36" s="10" t="s">
        <v>137</v>
      </c>
      <c r="Z36" s="7" t="s">
        <v>46</v>
      </c>
      <c r="AA36" s="10" t="s">
        <v>47</v>
      </c>
      <c r="AB36" s="11">
        <f t="shared" si="1"/>
        <v>4.8817000000000006E-2</v>
      </c>
    </row>
    <row r="37" spans="1:28" x14ac:dyDescent="0.35">
      <c r="A37" s="4">
        <v>5632</v>
      </c>
      <c r="B37" s="5" t="s">
        <v>132</v>
      </c>
      <c r="C37" s="6">
        <v>43726</v>
      </c>
      <c r="D37" s="7">
        <v>181</v>
      </c>
      <c r="E37" s="8" t="s">
        <v>50</v>
      </c>
      <c r="F37" s="7" t="s">
        <v>138</v>
      </c>
      <c r="G37" s="10" t="s">
        <v>139</v>
      </c>
      <c r="H37" s="7" t="str">
        <f>"000040"</f>
        <v>000040</v>
      </c>
      <c r="I37" s="6">
        <v>43645</v>
      </c>
      <c r="J37" s="7" t="str">
        <f>"000058"</f>
        <v>000058</v>
      </c>
      <c r="K37" s="6">
        <v>43693</v>
      </c>
      <c r="L37" s="7" t="str">
        <f>"000124"</f>
        <v>000124</v>
      </c>
      <c r="M37" s="6">
        <v>43693</v>
      </c>
      <c r="N37" s="7">
        <v>19</v>
      </c>
      <c r="O37" s="7" t="str">
        <f>"005095"</f>
        <v>005095</v>
      </c>
      <c r="P37" s="6">
        <v>43720</v>
      </c>
      <c r="Q37" s="11">
        <v>5.1460999999999997</v>
      </c>
      <c r="R37" s="11">
        <v>0.5252</v>
      </c>
      <c r="S37" s="11">
        <v>4.6208999999999998</v>
      </c>
      <c r="T37" s="7">
        <v>191</v>
      </c>
      <c r="U37" s="6">
        <v>43726</v>
      </c>
      <c r="V37" s="7">
        <v>9845037333</v>
      </c>
      <c r="W37" s="10" t="s">
        <v>140</v>
      </c>
      <c r="X37" s="7" t="s">
        <v>136</v>
      </c>
      <c r="Y37" s="10" t="s">
        <v>137</v>
      </c>
      <c r="Z37" s="7" t="s">
        <v>46</v>
      </c>
      <c r="AA37" s="10" t="s">
        <v>47</v>
      </c>
      <c r="AB37" s="11">
        <f t="shared" si="1"/>
        <v>5.1461E-2</v>
      </c>
    </row>
    <row r="38" spans="1:28" x14ac:dyDescent="0.35">
      <c r="A38" s="4">
        <v>5633</v>
      </c>
      <c r="B38" s="5" t="s">
        <v>132</v>
      </c>
      <c r="C38" s="6">
        <v>43726</v>
      </c>
      <c r="D38" s="7">
        <v>181</v>
      </c>
      <c r="E38" s="8" t="s">
        <v>50</v>
      </c>
      <c r="F38" s="7" t="s">
        <v>141</v>
      </c>
      <c r="G38" s="10" t="s">
        <v>142</v>
      </c>
      <c r="H38" s="7" t="str">
        <f>"000041"</f>
        <v>000041</v>
      </c>
      <c r="I38" s="6">
        <v>43645</v>
      </c>
      <c r="J38" s="7" t="str">
        <f>"000059"</f>
        <v>000059</v>
      </c>
      <c r="K38" s="6">
        <v>43693</v>
      </c>
      <c r="L38" s="7" t="str">
        <f>"000123"</f>
        <v>000123</v>
      </c>
      <c r="M38" s="6">
        <v>43693</v>
      </c>
      <c r="N38" s="7">
        <v>19</v>
      </c>
      <c r="O38" s="7" t="str">
        <f>"005099"</f>
        <v>005099</v>
      </c>
      <c r="P38" s="6">
        <v>43720</v>
      </c>
      <c r="Q38" s="11">
        <v>5.4957000000000003</v>
      </c>
      <c r="R38" s="11">
        <v>0.58499999999999996</v>
      </c>
      <c r="S38" s="11">
        <v>4.9107000000000003</v>
      </c>
      <c r="T38" s="7">
        <v>191</v>
      </c>
      <c r="U38" s="6">
        <v>43726</v>
      </c>
      <c r="V38" s="7">
        <v>9844480710</v>
      </c>
      <c r="W38" s="10" t="s">
        <v>143</v>
      </c>
      <c r="X38" s="7" t="s">
        <v>136</v>
      </c>
      <c r="Y38" s="10" t="s">
        <v>137</v>
      </c>
      <c r="Z38" s="7" t="s">
        <v>46</v>
      </c>
      <c r="AA38" s="10" t="s">
        <v>47</v>
      </c>
      <c r="AB38" s="11">
        <f t="shared" si="1"/>
        <v>5.4957000000000006E-2</v>
      </c>
    </row>
    <row r="39" spans="1:28" x14ac:dyDescent="0.35">
      <c r="A39" s="4">
        <v>5634</v>
      </c>
      <c r="B39" s="5" t="s">
        <v>132</v>
      </c>
      <c r="C39" s="6">
        <v>43731</v>
      </c>
      <c r="D39" s="7">
        <v>181</v>
      </c>
      <c r="E39" s="8" t="s">
        <v>50</v>
      </c>
      <c r="F39" s="7" t="s">
        <v>144</v>
      </c>
      <c r="G39" s="10" t="s">
        <v>145</v>
      </c>
      <c r="H39" s="7" t="str">
        <f>"000071"</f>
        <v>000071</v>
      </c>
      <c r="I39" s="6">
        <v>43119</v>
      </c>
      <c r="J39" s="7" t="str">
        <f>"000007"</f>
        <v>000007</v>
      </c>
      <c r="K39" s="6">
        <v>43244</v>
      </c>
      <c r="L39" s="7" t="str">
        <f>"000010"</f>
        <v>000010</v>
      </c>
      <c r="M39" s="6">
        <v>43244</v>
      </c>
      <c r="N39" s="7">
        <v>17</v>
      </c>
      <c r="O39" s="7" t="str">
        <f>"005146"</f>
        <v>005146</v>
      </c>
      <c r="P39" s="6">
        <v>43726</v>
      </c>
      <c r="Q39" s="11">
        <v>48.014769999999999</v>
      </c>
      <c r="R39" s="11">
        <v>4.1293499999999996</v>
      </c>
      <c r="S39" s="11">
        <v>43.885420000000003</v>
      </c>
      <c r="T39" s="7">
        <v>197</v>
      </c>
      <c r="U39" s="6">
        <v>43731</v>
      </c>
      <c r="V39" s="7">
        <v>9448085873</v>
      </c>
      <c r="W39" s="10" t="s">
        <v>146</v>
      </c>
      <c r="X39" s="7" t="s">
        <v>147</v>
      </c>
      <c r="Y39" s="10" t="s">
        <v>148</v>
      </c>
      <c r="Z39" s="7" t="s">
        <v>40</v>
      </c>
      <c r="AA39" s="10" t="s">
        <v>41</v>
      </c>
      <c r="AB39" s="11">
        <f t="shared" si="1"/>
        <v>0.48014770000000001</v>
      </c>
    </row>
    <row r="40" spans="1:28" x14ac:dyDescent="0.35">
      <c r="A40" s="4">
        <v>5635</v>
      </c>
      <c r="B40" s="5" t="s">
        <v>132</v>
      </c>
      <c r="C40" s="6">
        <v>43732</v>
      </c>
      <c r="D40" s="7">
        <v>181</v>
      </c>
      <c r="E40" s="8" t="s">
        <v>50</v>
      </c>
      <c r="F40" s="7" t="s">
        <v>149</v>
      </c>
      <c r="G40" s="10" t="s">
        <v>150</v>
      </c>
      <c r="H40" s="7" t="str">
        <f>"000096"</f>
        <v>000096</v>
      </c>
      <c r="I40" s="6">
        <v>42801</v>
      </c>
      <c r="J40" s="7" t="str">
        <f>"000002"</f>
        <v>000002</v>
      </c>
      <c r="K40" s="6">
        <v>43197</v>
      </c>
      <c r="L40" s="7" t="str">
        <f>"000002"</f>
        <v>000002</v>
      </c>
      <c r="M40" s="6">
        <v>43201</v>
      </c>
      <c r="N40" s="7">
        <v>17</v>
      </c>
      <c r="O40" s="7" t="str">
        <f>"005301"</f>
        <v>005301</v>
      </c>
      <c r="P40" s="6">
        <v>43729</v>
      </c>
      <c r="Q40" s="11">
        <v>7.9930000000000003</v>
      </c>
      <c r="R40" s="11">
        <v>0.85219999999999996</v>
      </c>
      <c r="S40" s="11">
        <v>7.1407999999999996</v>
      </c>
      <c r="T40" s="7">
        <v>199</v>
      </c>
      <c r="U40" s="6">
        <v>43732</v>
      </c>
      <c r="V40" s="7">
        <v>9663453136</v>
      </c>
      <c r="W40" s="10" t="s">
        <v>151</v>
      </c>
      <c r="X40" s="7" t="s">
        <v>30</v>
      </c>
      <c r="Y40" s="10" t="s">
        <v>31</v>
      </c>
      <c r="Z40" s="7" t="s">
        <v>46</v>
      </c>
      <c r="AA40" s="10" t="s">
        <v>47</v>
      </c>
      <c r="AB40" s="11">
        <f t="shared" si="1"/>
        <v>7.9930000000000001E-2</v>
      </c>
    </row>
    <row r="41" spans="1:28" x14ac:dyDescent="0.35">
      <c r="A41" s="4">
        <v>5636</v>
      </c>
      <c r="B41" s="5" t="s">
        <v>152</v>
      </c>
      <c r="C41" s="6">
        <v>43748</v>
      </c>
      <c r="D41" s="4">
        <v>181</v>
      </c>
      <c r="E41" s="8" t="s">
        <v>50</v>
      </c>
      <c r="F41" s="7" t="s">
        <v>153</v>
      </c>
      <c r="G41" s="8" t="s">
        <v>154</v>
      </c>
      <c r="H41" s="7" t="str">
        <f>"000035"</f>
        <v>000035</v>
      </c>
      <c r="I41" s="6">
        <v>43014</v>
      </c>
      <c r="J41" s="7" t="str">
        <f>"000011"</f>
        <v>000011</v>
      </c>
      <c r="K41" s="6">
        <v>43235</v>
      </c>
      <c r="L41" s="7" t="str">
        <f>"000010"</f>
        <v>000010</v>
      </c>
      <c r="M41" s="6">
        <v>43237</v>
      </c>
      <c r="N41" s="7">
        <v>17</v>
      </c>
      <c r="O41" s="7" t="str">
        <f>"005628"</f>
        <v>005628</v>
      </c>
      <c r="P41" s="6">
        <v>43741</v>
      </c>
      <c r="Q41" s="9">
        <v>20.056999999999999</v>
      </c>
      <c r="R41" s="9">
        <v>1.8770500000000001</v>
      </c>
      <c r="S41" s="9">
        <v>18.179950000000002</v>
      </c>
      <c r="T41" s="7">
        <v>13</v>
      </c>
      <c r="U41" s="6">
        <v>43748</v>
      </c>
      <c r="V41" s="7">
        <v>9845187748</v>
      </c>
      <c r="W41" s="8" t="s">
        <v>155</v>
      </c>
      <c r="X41" s="7" t="s">
        <v>95</v>
      </c>
      <c r="Y41" s="8" t="s">
        <v>96</v>
      </c>
      <c r="Z41" s="7" t="s">
        <v>46</v>
      </c>
      <c r="AA41" s="8" t="s">
        <v>47</v>
      </c>
      <c r="AB41" s="9">
        <v>0.20057</v>
      </c>
    </row>
    <row r="42" spans="1:28" x14ac:dyDescent="0.35">
      <c r="A42" s="4">
        <v>5637</v>
      </c>
      <c r="B42" s="5" t="s">
        <v>152</v>
      </c>
      <c r="C42" s="6">
        <v>43749</v>
      </c>
      <c r="D42" s="4">
        <v>181</v>
      </c>
      <c r="E42" s="8" t="s">
        <v>50</v>
      </c>
      <c r="F42" s="7" t="s">
        <v>156</v>
      </c>
      <c r="G42" s="8" t="s">
        <v>157</v>
      </c>
      <c r="H42" s="7" t="str">
        <f>"000054"</f>
        <v>000054</v>
      </c>
      <c r="I42" s="6">
        <v>43054</v>
      </c>
      <c r="J42" s="7" t="str">
        <f>"000007"</f>
        <v>000007</v>
      </c>
      <c r="K42" s="6">
        <v>43214</v>
      </c>
      <c r="L42" s="7" t="str">
        <f>"000006"</f>
        <v>000006</v>
      </c>
      <c r="M42" s="6">
        <v>43220</v>
      </c>
      <c r="N42" s="7">
        <v>17</v>
      </c>
      <c r="O42" s="7" t="str">
        <f>"005493"</f>
        <v>005493</v>
      </c>
      <c r="P42" s="6">
        <v>43739</v>
      </c>
      <c r="Q42" s="9">
        <v>50.875</v>
      </c>
      <c r="R42" s="9">
        <v>5.2971000000000004</v>
      </c>
      <c r="S42" s="9">
        <v>45.5779</v>
      </c>
      <c r="T42" s="7">
        <v>13</v>
      </c>
      <c r="U42" s="6">
        <v>43749</v>
      </c>
      <c r="V42" s="7">
        <v>9845333654</v>
      </c>
      <c r="W42" s="8" t="s">
        <v>158</v>
      </c>
      <c r="X42" s="7" t="s">
        <v>44</v>
      </c>
      <c r="Y42" s="8" t="s">
        <v>45</v>
      </c>
      <c r="Z42" s="7" t="s">
        <v>46</v>
      </c>
      <c r="AA42" s="8" t="s">
        <v>47</v>
      </c>
      <c r="AB42" s="9">
        <v>0.50875000000000004</v>
      </c>
    </row>
    <row r="43" spans="1:28" x14ac:dyDescent="0.35">
      <c r="A43" s="4">
        <v>5638</v>
      </c>
      <c r="B43" s="5" t="s">
        <v>152</v>
      </c>
      <c r="C43" s="6">
        <v>43749</v>
      </c>
      <c r="D43" s="4">
        <v>181</v>
      </c>
      <c r="E43" s="8" t="s">
        <v>50</v>
      </c>
      <c r="F43" s="7" t="s">
        <v>159</v>
      </c>
      <c r="G43" s="8" t="s">
        <v>160</v>
      </c>
      <c r="H43" s="7" t="str">
        <f>"000057"</f>
        <v>000057</v>
      </c>
      <c r="I43" s="6">
        <v>43061</v>
      </c>
      <c r="J43" s="7" t="str">
        <f>"000006"</f>
        <v>000006</v>
      </c>
      <c r="K43" s="6">
        <v>43214</v>
      </c>
      <c r="L43" s="7" t="str">
        <f>"000007"</f>
        <v>000007</v>
      </c>
      <c r="M43" s="6">
        <v>43220</v>
      </c>
      <c r="N43" s="7">
        <v>17</v>
      </c>
      <c r="O43" s="7" t="str">
        <f>"005494"</f>
        <v>005494</v>
      </c>
      <c r="P43" s="6">
        <v>43739</v>
      </c>
      <c r="Q43" s="9">
        <v>49.903500000000001</v>
      </c>
      <c r="R43" s="9">
        <v>5.2678500000000001</v>
      </c>
      <c r="S43" s="9">
        <v>44.635649999999998</v>
      </c>
      <c r="T43" s="7">
        <v>13</v>
      </c>
      <c r="U43" s="6">
        <v>43749</v>
      </c>
      <c r="V43" s="7">
        <v>9845333654</v>
      </c>
      <c r="W43" s="8" t="s">
        <v>158</v>
      </c>
      <c r="X43" s="7" t="s">
        <v>44</v>
      </c>
      <c r="Y43" s="8" t="s">
        <v>45</v>
      </c>
      <c r="Z43" s="7" t="s">
        <v>46</v>
      </c>
      <c r="AA43" s="8" t="s">
        <v>47</v>
      </c>
      <c r="AB43" s="9">
        <v>0.49903500000000001</v>
      </c>
    </row>
    <row r="44" spans="1:28" x14ac:dyDescent="0.35">
      <c r="A44" s="4">
        <v>5639</v>
      </c>
      <c r="B44" s="5" t="s">
        <v>152</v>
      </c>
      <c r="C44" s="6">
        <v>43752</v>
      </c>
      <c r="D44" s="4">
        <v>181</v>
      </c>
      <c r="E44" s="8" t="s">
        <v>50</v>
      </c>
      <c r="F44" s="7" t="s">
        <v>161</v>
      </c>
      <c r="G44" s="8" t="s">
        <v>162</v>
      </c>
      <c r="H44" s="7" t="str">
        <f>"000055"</f>
        <v>000055</v>
      </c>
      <c r="I44" s="6">
        <v>43682</v>
      </c>
      <c r="J44" s="7" t="str">
        <f>"000074"</f>
        <v>000074</v>
      </c>
      <c r="K44" s="6">
        <v>43726</v>
      </c>
      <c r="L44" s="7" t="str">
        <f>"000152"</f>
        <v>000152</v>
      </c>
      <c r="M44" s="6">
        <v>43726</v>
      </c>
      <c r="N44" s="7">
        <v>19</v>
      </c>
      <c r="O44" s="7" t="str">
        <f>"005711"</f>
        <v>005711</v>
      </c>
      <c r="P44" s="6">
        <v>43748</v>
      </c>
      <c r="Q44" s="9">
        <v>8.2871000000000006</v>
      </c>
      <c r="R44" s="9">
        <v>0.84219999999999995</v>
      </c>
      <c r="S44" s="9">
        <v>7.4448999999999996</v>
      </c>
      <c r="T44" s="7">
        <v>13</v>
      </c>
      <c r="U44" s="6">
        <v>43752</v>
      </c>
      <c r="V44" s="7">
        <v>9986697126</v>
      </c>
      <c r="W44" s="8" t="s">
        <v>163</v>
      </c>
      <c r="X44" s="7" t="s">
        <v>164</v>
      </c>
      <c r="Y44" s="8" t="s">
        <v>165</v>
      </c>
      <c r="Z44" s="7" t="s">
        <v>46</v>
      </c>
      <c r="AA44" s="8" t="s">
        <v>47</v>
      </c>
      <c r="AB44" s="9">
        <v>8.2871E-2</v>
      </c>
    </row>
    <row r="45" spans="1:28" x14ac:dyDescent="0.35">
      <c r="A45" s="4">
        <v>5640</v>
      </c>
      <c r="B45" s="5" t="s">
        <v>152</v>
      </c>
      <c r="C45" s="6">
        <v>43761</v>
      </c>
      <c r="D45" s="4">
        <v>181</v>
      </c>
      <c r="E45" s="8" t="s">
        <v>50</v>
      </c>
      <c r="F45" s="7" t="s">
        <v>166</v>
      </c>
      <c r="G45" s="8" t="s">
        <v>167</v>
      </c>
      <c r="H45" s="7" t="str">
        <f>"000020"</f>
        <v>000020</v>
      </c>
      <c r="I45" s="6">
        <v>42872</v>
      </c>
      <c r="J45" s="7" t="str">
        <f>"000064"</f>
        <v>000064</v>
      </c>
      <c r="K45" s="6">
        <v>43697</v>
      </c>
      <c r="L45" s="7" t="str">
        <f>"000129"</f>
        <v>000129</v>
      </c>
      <c r="M45" s="6">
        <v>43699</v>
      </c>
      <c r="N45" s="7">
        <v>17</v>
      </c>
      <c r="O45" s="7" t="str">
        <f>"005833"</f>
        <v>005833</v>
      </c>
      <c r="P45" s="6">
        <v>43755</v>
      </c>
      <c r="Q45" s="9">
        <v>11.2128</v>
      </c>
      <c r="R45" s="9">
        <v>0.99709999999999999</v>
      </c>
      <c r="S45" s="9">
        <v>10.2157</v>
      </c>
      <c r="T45" s="7">
        <v>13</v>
      </c>
      <c r="U45" s="6">
        <v>43761</v>
      </c>
      <c r="V45" s="7">
        <v>9964218400</v>
      </c>
      <c r="W45" s="8" t="s">
        <v>168</v>
      </c>
      <c r="X45" s="7" t="s">
        <v>169</v>
      </c>
      <c r="Y45" s="8" t="s">
        <v>170</v>
      </c>
      <c r="Z45" s="7" t="s">
        <v>46</v>
      </c>
      <c r="AA45" s="8" t="s">
        <v>47</v>
      </c>
      <c r="AB45" s="9">
        <v>0.11212799999999999</v>
      </c>
    </row>
    <row r="46" spans="1:28" x14ac:dyDescent="0.35">
      <c r="A46" s="4">
        <v>5641</v>
      </c>
      <c r="B46" s="5" t="s">
        <v>171</v>
      </c>
      <c r="C46" s="6">
        <v>43789</v>
      </c>
      <c r="D46" s="4">
        <v>181</v>
      </c>
      <c r="E46" s="8" t="s">
        <v>50</v>
      </c>
      <c r="F46" s="7" t="s">
        <v>172</v>
      </c>
      <c r="G46" s="8" t="s">
        <v>173</v>
      </c>
      <c r="H46" s="7" t="str">
        <f>"000254"</f>
        <v>000254</v>
      </c>
      <c r="I46" s="6">
        <v>41667</v>
      </c>
      <c r="J46" s="7" t="str">
        <f>"000085"</f>
        <v>000085</v>
      </c>
      <c r="K46" s="6">
        <v>42963</v>
      </c>
      <c r="L46" s="7" t="str">
        <f>"000123"</f>
        <v>000123</v>
      </c>
      <c r="M46" s="6">
        <v>42963</v>
      </c>
      <c r="N46" s="7">
        <v>14</v>
      </c>
      <c r="O46" s="7" t="str">
        <f>"006226"</f>
        <v>006226</v>
      </c>
      <c r="P46" s="6">
        <v>43782</v>
      </c>
      <c r="Q46" s="9">
        <v>15.985250000000001</v>
      </c>
      <c r="R46" s="9">
        <v>2.2602500000000001</v>
      </c>
      <c r="S46" s="9">
        <v>13.725</v>
      </c>
      <c r="T46" s="7">
        <v>13</v>
      </c>
      <c r="U46" s="6">
        <v>43789</v>
      </c>
      <c r="V46" s="7">
        <v>9449646599</v>
      </c>
      <c r="W46" s="8" t="s">
        <v>174</v>
      </c>
      <c r="X46" s="7" t="s">
        <v>30</v>
      </c>
      <c r="Y46" s="8" t="s">
        <v>31</v>
      </c>
      <c r="Z46" s="7" t="s">
        <v>46</v>
      </c>
      <c r="AA46" s="8" t="s">
        <v>47</v>
      </c>
      <c r="AB46" s="9">
        <v>0.15985250000000001</v>
      </c>
    </row>
    <row r="47" spans="1:28" x14ac:dyDescent="0.35">
      <c r="A47" s="4">
        <v>5642</v>
      </c>
      <c r="B47" s="5" t="s">
        <v>171</v>
      </c>
      <c r="C47" s="6">
        <v>43795</v>
      </c>
      <c r="D47" s="4">
        <v>181</v>
      </c>
      <c r="E47" s="8" t="s">
        <v>50</v>
      </c>
      <c r="F47" s="7" t="s">
        <v>51</v>
      </c>
      <c r="G47" s="8" t="s">
        <v>52</v>
      </c>
      <c r="H47" s="7" t="str">
        <f>"000013"</f>
        <v>000013</v>
      </c>
      <c r="I47" s="6">
        <v>42934</v>
      </c>
      <c r="J47" s="7" t="str">
        <f>"000195"</f>
        <v>000195</v>
      </c>
      <c r="K47" s="6">
        <v>43773</v>
      </c>
      <c r="L47" s="7" t="str">
        <f>"000193"</f>
        <v>000193</v>
      </c>
      <c r="M47" s="6">
        <v>43773</v>
      </c>
      <c r="N47" s="7">
        <v>16</v>
      </c>
      <c r="O47" s="7" t="str">
        <f>"006341"</f>
        <v>006341</v>
      </c>
      <c r="P47" s="6">
        <v>43791</v>
      </c>
      <c r="Q47" s="9">
        <v>3.7971699999999999</v>
      </c>
      <c r="R47" s="9">
        <v>0.29444999999999999</v>
      </c>
      <c r="S47" s="9">
        <v>3.5027200000000001</v>
      </c>
      <c r="T47" s="7">
        <v>13</v>
      </c>
      <c r="U47" s="6">
        <v>43795</v>
      </c>
      <c r="V47" s="7">
        <v>0</v>
      </c>
      <c r="W47" s="8" t="s">
        <v>53</v>
      </c>
      <c r="X47" s="7" t="s">
        <v>34</v>
      </c>
      <c r="Y47" s="8" t="s">
        <v>33</v>
      </c>
      <c r="Z47" s="7" t="s">
        <v>38</v>
      </c>
      <c r="AA47" s="8" t="s">
        <v>39</v>
      </c>
      <c r="AB47" s="9">
        <v>3.7971699999999997E-2</v>
      </c>
    </row>
    <row r="48" spans="1:28" x14ac:dyDescent="0.35">
      <c r="A48" s="4">
        <v>5643</v>
      </c>
      <c r="B48" s="5" t="s">
        <v>175</v>
      </c>
      <c r="C48" s="6">
        <v>43818</v>
      </c>
      <c r="D48" s="4">
        <v>181</v>
      </c>
      <c r="E48" s="8" t="s">
        <v>50</v>
      </c>
      <c r="F48" s="7" t="s">
        <v>176</v>
      </c>
      <c r="G48" s="8" t="s">
        <v>177</v>
      </c>
      <c r="H48" s="7" t="str">
        <f>"000036"</f>
        <v>000036</v>
      </c>
      <c r="I48" s="6">
        <v>43019</v>
      </c>
      <c r="J48" s="7" t="str">
        <f>"000020"</f>
        <v>000020</v>
      </c>
      <c r="K48" s="6">
        <v>43591</v>
      </c>
      <c r="L48" s="7" t="str">
        <f>"000111"</f>
        <v>000111</v>
      </c>
      <c r="M48" s="6">
        <v>43669</v>
      </c>
      <c r="N48" s="7">
        <v>17</v>
      </c>
      <c r="O48" s="7" t="str">
        <f>"006807"</f>
        <v>006807</v>
      </c>
      <c r="P48" s="6">
        <v>43811</v>
      </c>
      <c r="Q48" s="9">
        <v>12.592599999999999</v>
      </c>
      <c r="R48" s="9">
        <v>3.8504800000000001</v>
      </c>
      <c r="S48" s="9">
        <v>8.7421199999999999</v>
      </c>
      <c r="T48" s="7">
        <v>13</v>
      </c>
      <c r="U48" s="6">
        <v>43818</v>
      </c>
      <c r="V48" s="7">
        <v>9449087857</v>
      </c>
      <c r="W48" s="8" t="s">
        <v>178</v>
      </c>
      <c r="X48" s="7" t="s">
        <v>179</v>
      </c>
      <c r="Y48" s="8" t="s">
        <v>180</v>
      </c>
      <c r="Z48" s="7" t="s">
        <v>46</v>
      </c>
      <c r="AA48" s="8" t="s">
        <v>47</v>
      </c>
      <c r="AB48" s="9">
        <v>0.12592599999999998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2020-01-30T07:04:57Z</dcterms:modified>
</cp:coreProperties>
</file>