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1" l="1"/>
  <c r="L35" i="1"/>
  <c r="J35" i="1"/>
  <c r="H35" i="1"/>
  <c r="O34" i="1"/>
  <c r="L34" i="1"/>
  <c r="J34" i="1"/>
  <c r="H34" i="1"/>
  <c r="O33" i="1"/>
  <c r="L33" i="1"/>
  <c r="J33" i="1"/>
  <c r="H33" i="1"/>
  <c r="O32" i="1"/>
  <c r="L32" i="1"/>
  <c r="J32" i="1"/>
  <c r="H32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O14" i="1"/>
  <c r="L14" i="1"/>
  <c r="J14" i="1"/>
  <c r="H14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<sst xmlns="http://schemas.openxmlformats.org/spreadsheetml/2006/main" count="334" uniqueCount="145">
  <si>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</si>
  <si>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</si>
  <si>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</si>
  <si>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</si>
  <si>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</si>
  <si>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</si>
  <si>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</si>
  <si>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</si>
  <si>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</si>
  <si>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</si>
  <si>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</si>
  <si>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</si>
  <si>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</si>
  <si>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</si>
  <si>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</si>
  <si>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</si>
  <si>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</si>
  <si>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</si>
  <si>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</si>
  <si>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</si>
  <si>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</si>
  <si>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</si>
  <si>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</si>
  <si>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</si>
  <si>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</si>
  <si>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</si>
  <si>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</si>
  <si>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</si>
  <si>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</si>
  <si>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</si>
  <si>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</si>
  <si>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</si>
  <si>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</si>
  <si>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P3296</t>
  </si>
  <si>
    <t>14th Finance Commission Works - Road and Footpath Maintenance</t>
  </si>
  <si>
    <t>M and R to Street Lights - Replacement of Burnt Bulbs etc. (Package)</t>
  </si>
  <si>
    <t>P0300</t>
  </si>
  <si>
    <t>P3409</t>
  </si>
  <si>
    <t>SFC Untied SC-SP/TSP Grant works</t>
  </si>
  <si>
    <t>ddo258</t>
  </si>
  <si>
    <t xml:space="preserve"> Executive Engineer Electrical South Zone</t>
  </si>
  <si>
    <t>P0541</t>
  </si>
  <si>
    <t>Emergency Reserve Fund</t>
  </si>
  <si>
    <t>ddo269</t>
  </si>
  <si>
    <t xml:space="preserve"> Assistant Executive Engineer Padmanabha Nagar South Zone</t>
  </si>
  <si>
    <t>K S SRINIVASAN</t>
  </si>
  <si>
    <t>Padmanabha Nagara</t>
  </si>
  <si>
    <t>182-17-000052</t>
  </si>
  <si>
    <t>Repairs to Rangamandira building at Puttalaingaiah road under emergency works in ward no 182 Padmanabhnagar</t>
  </si>
  <si>
    <t>TECHNICAL MANAGER (3) KRIDL</t>
  </si>
  <si>
    <t>182-16-000001</t>
  </si>
  <si>
    <t>Operation and Maintenance of Street Lighting System in Ward No.182 Package S-3 of South Zone</t>
  </si>
  <si>
    <t>Aravinda Electricals (B.M. Srinivas)</t>
  </si>
  <si>
    <t>182-17-000025</t>
  </si>
  <si>
    <t>Providing Pot holes filling in Padmanabhanagar ward no. 182</t>
  </si>
  <si>
    <t>G SIDDARAJU</t>
  </si>
  <si>
    <t>182-17-000029</t>
  </si>
  <si>
    <t>Repair Works to masonry Drains at Chikkagowdanapalya Main road (Srinivasa takis road) in Ward No-182.</t>
  </si>
  <si>
    <t>SIDDARAJU G</t>
  </si>
  <si>
    <t>182-17-000004</t>
  </si>
  <si>
    <t>Construction of culverts and secondary Storm water drain in Puttalingaiah Road, Padmanabhangara in ward no 182.</t>
  </si>
  <si>
    <t>182-16-000004</t>
  </si>
  <si>
    <t>Repairs to old and providing Name Boards in Jurisdiction in ward No.182.</t>
  </si>
  <si>
    <t>C PUSHPARAJ</t>
  </si>
  <si>
    <t>182-17-000024</t>
  </si>
  <si>
    <t>Maintenance of special gangman in Padmanabhanagar ward no. 182</t>
  </si>
  <si>
    <t>SHIVARAJU H</t>
  </si>
  <si>
    <t>182-17-000026</t>
  </si>
  <si>
    <t>Providing concrete patch works in Padmanabhanagar ward no. 182</t>
  </si>
  <si>
    <t>B C SUKUMAR</t>
  </si>
  <si>
    <t>182-17-000020</t>
  </si>
  <si>
    <t>Improvements and Drain and covering slabs in 3rd Cross and Muruli Krishna School to Doddagowdanaplaya main road in Gowdanapalya in Ward no-182.</t>
  </si>
  <si>
    <t>K C SRIDHAR</t>
  </si>
  <si>
    <t>182-17-000018</t>
  </si>
  <si>
    <t>Improvements and Drain and covering slabs in 1st Cross and 2nd Cross of Samrudhi layout in Ward no-182.</t>
  </si>
  <si>
    <t>182-19-000013</t>
  </si>
  <si>
    <t>Maintenance and repairs to 1st main road and surrounding area Padmanabhanagara in  ward no 182 Padmanabhanagara</t>
  </si>
  <si>
    <t>MAYUR V PROP OF GOWTHAM CONSTRUCTIONS</t>
  </si>
  <si>
    <t>182-19-000002</t>
  </si>
  <si>
    <t>Providing LED Street lights at Gowdana palya and surrounding area in Padmanabhanagara ward no 182</t>
  </si>
  <si>
    <t>Executive Engineer-3, KRIDL</t>
  </si>
  <si>
    <t>July</t>
  </si>
  <si>
    <t>182-18-000019</t>
  </si>
  <si>
    <t>Improvement to drains and CC road Doddagowdanapalya in ward no 182 Padmanabhnagar</t>
  </si>
  <si>
    <t>KRIDL</t>
  </si>
  <si>
    <t>P1878</t>
  </si>
  <si>
    <t>18per - Works (Bhagyajyothi, Sooru / Neeru Yojane and General) (54 Lakhs / New Wards)</t>
  </si>
  <si>
    <t>182-18-000018</t>
  </si>
  <si>
    <t>Improvement to drains and CC road chikkagowdanapalya in ward no 182 Padmanabhnagar</t>
  </si>
  <si>
    <t>182-18-000039</t>
  </si>
  <si>
    <t>Providing Energy Saving LED Street light fittings to 18th main road in Padmanabhanagara in ward no 182</t>
  </si>
  <si>
    <t>Executive Engineer, KRIDL</t>
  </si>
  <si>
    <t>P0190</t>
  </si>
  <si>
    <t>Works sanctioned by Hon Mayor</t>
  </si>
  <si>
    <t>182-18-000038</t>
  </si>
  <si>
    <t>Providing Energy Saving LED Street light fittings to Important main road in Padmanabhanagara in ward no 182</t>
  </si>
  <si>
    <t>182-17-000053</t>
  </si>
  <si>
    <t>Desilting of secondary drians at Chikkalasndra main road in ward no 182 Padmanabhnagar</t>
  </si>
  <si>
    <t xml:space="preserve"> TECHNICAL MANAGER (3) KRIDL</t>
  </si>
  <si>
    <t>182-17-000005</t>
  </si>
  <si>
    <t>Desilting of Drains in Gummaiah Layout and Reconstruction of drains and culverts in ward no 182.</t>
  </si>
  <si>
    <t>NARASIMHARAJU</t>
  </si>
  <si>
    <t>182-17-000021</t>
  </si>
  <si>
    <t>Improvements and Providing concrete to 1st Cross and other Main roads in K S layout 2nd Stage Ward no-182.</t>
  </si>
  <si>
    <t>K C SRIDHAR PROP OF M/S SONU ENGINEERS</t>
  </si>
  <si>
    <t>August</t>
  </si>
  <si>
    <t>182-18-000048</t>
  </si>
  <si>
    <t xml:space="preserve">Providing Indoor Batminton Court at Kumaraswamy Layout 2nd stage Govinayakanahalli survey No 50 in Ward No 182 Padmanabhanagara </t>
  </si>
  <si>
    <t>P3158</t>
  </si>
  <si>
    <t>SIP Infrastructure Project works</t>
  </si>
  <si>
    <t>ddo422</t>
  </si>
  <si>
    <t xml:space="preserve"> Executive Engineer Project - South Zone</t>
  </si>
  <si>
    <t>182-18-000007</t>
  </si>
  <si>
    <t>Improvements of Roads and drains in R K layout 3rd stage and 7th main Gururaja Layout in ward no 182 Padmanabhanagar</t>
  </si>
  <si>
    <t>182-18-000005</t>
  </si>
  <si>
    <t>Improvements of Roads and drains in Gowdanapalya in ward no 182 Padmanabhanagar</t>
  </si>
  <si>
    <t xml:space="preserve"> K S SRINIVASAN</t>
  </si>
  <si>
    <t>September</t>
  </si>
  <si>
    <t>182-19-000012</t>
  </si>
  <si>
    <t>Maintenance and repairs to 1st main road Chikka Gowdanapalya in ward no 182 Padmanabhanagara</t>
  </si>
  <si>
    <t>182-18-000047</t>
  </si>
  <si>
    <t xml:space="preserve">Providing gazero pathway and other development works at Kumaraswamy Layout 2nd Stage Govinayakanahalli survey No 50 in Ward No182 Padmanabhanagara </t>
  </si>
  <si>
    <t>182-18-000049</t>
  </si>
  <si>
    <t xml:space="preserve">Providing Protective geils to Vacant land in Kumaraswamy Layout 2nd stage Govinayakanahalli survey No 50 and other developments work in Ward No182 Padmanabhanagara </t>
  </si>
  <si>
    <t>182-19-000003</t>
  </si>
  <si>
    <t>Improvements Roads at ward no 182</t>
  </si>
  <si>
    <t>Technical Manager (3), Karnataka Rural Infrastructure Development Limited (KRIDL)</t>
  </si>
  <si>
    <t>P3111</t>
  </si>
  <si>
    <t>State Finance Commission Untied Grant Works</t>
  </si>
  <si>
    <t>October</t>
  </si>
  <si>
    <t>182-17-000008</t>
  </si>
  <si>
    <t>Preparation of Detailed project report (DPR) for the work of Restoration of secondary Drain damaged due to flood at Hanumagiri main road constructed by BDA in ward no 182</t>
  </si>
  <si>
    <t>V VASU</t>
  </si>
  <si>
    <t>182-17-000048</t>
  </si>
  <si>
    <t>Engagement of gangman and hiring of tractor tippers for maintenance of road side drains and other civil works in ward no 182</t>
  </si>
  <si>
    <t>B S KIRAN KUMAR PROP OF LAKSHMI RANGANATHA SWAMY EANTERPRISES</t>
  </si>
  <si>
    <t>P3110</t>
  </si>
  <si>
    <t>14th Finance Commission Grant Works</t>
  </si>
  <si>
    <t>November</t>
  </si>
  <si>
    <t>182-18-000004</t>
  </si>
  <si>
    <t>Improvements of Roads and drains in Govinayakanahalli and providing chain link fencing to park ground at Kumaraswamy layout ward no 182</t>
  </si>
  <si>
    <t>T S MAHADEVA</t>
  </si>
  <si>
    <t>December</t>
  </si>
  <si>
    <t>182-17-000051</t>
  </si>
  <si>
    <t>Improvements to drain at 13th cross southern sider under emergency works in ward no 182 Padmanabhanagar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</si>
</sst>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tabSelected="1" workbookViewId="0">
      <selection activeCell="A2" sqref="A2:XFD35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5644</v>
      </c>
      <c r="B2" s="5" t="s">
        <v>28</v>
      </c>
      <c r="C2" s="6">
        <v>43566</v>
      </c>
      <c r="D2" s="7">
        <v>182</v>
      </c>
      <c r="E2" s="8" t="s">
        <v>46</v>
      </c>
      <c r="F2" s="7" t="s">
        <v>47</v>
      </c>
      <c r="G2" s="8" t="s">
        <v>48</v>
      </c>
      <c r="H2" s="7" t="str">
        <f>"000079"</f>
        <v>000079</v>
      </c>
      <c r="I2" s="6">
        <v>43110</v>
      </c>
      <c r="J2" s="7" t="str">
        <f>"000015"</f>
        <v>000015</v>
      </c>
      <c r="K2" s="6">
        <v>43242</v>
      </c>
      <c r="L2" s="7" t="str">
        <f>"000019"</f>
        <v>000019</v>
      </c>
      <c r="M2" s="6">
        <v>43249</v>
      </c>
      <c r="N2" s="7">
        <v>17</v>
      </c>
      <c r="O2" s="7" t="str">
        <f>"000222"</f>
        <v>000222</v>
      </c>
      <c r="P2" s="6">
        <v>43564</v>
      </c>
      <c r="Q2" s="9">
        <v>2.9980000000000002</v>
      </c>
      <c r="R2" s="9">
        <v>0.38305</v>
      </c>
      <c r="S2" s="9">
        <v>2.6149499999999999</v>
      </c>
      <c r="T2" s="7">
        <v>11</v>
      </c>
      <c r="U2" s="6">
        <v>43566</v>
      </c>
      <c r="V2" s="7">
        <v>9986697126</v>
      </c>
      <c r="W2" s="8" t="s">
        <v>49</v>
      </c>
      <c r="X2" s="7" t="s">
        <v>30</v>
      </c>
      <c r="Y2" s="8" t="s">
        <v>31</v>
      </c>
      <c r="Z2" s="7" t="s">
        <v>43</v>
      </c>
      <c r="AA2" s="8" t="s">
        <v>44</v>
      </c>
      <c r="AB2" s="9">
        <f t="shared" ref="AB2:AB12" si="0">Q2/100</f>
        <v>2.9980000000000003E-2</v>
      </c>
    </row>
    <row r="3" spans="1:28" x14ac:dyDescent="0.35">
      <c r="A3" s="4">
        <v>5645</v>
      </c>
      <c r="B3" s="5" t="s">
        <v>28</v>
      </c>
      <c r="C3" s="6">
        <v>43567</v>
      </c>
      <c r="D3" s="7">
        <v>182</v>
      </c>
      <c r="E3" s="8" t="s">
        <v>46</v>
      </c>
      <c r="F3" s="7" t="s">
        <v>50</v>
      </c>
      <c r="G3" s="8" t="s">
        <v>51</v>
      </c>
      <c r="H3" s="7" t="str">
        <f>"000005"</f>
        <v>000005</v>
      </c>
      <c r="I3" s="6">
        <v>42930</v>
      </c>
      <c r="J3" s="7" t="str">
        <f>"000031"</f>
        <v>000031</v>
      </c>
      <c r="K3" s="6">
        <v>43598</v>
      </c>
      <c r="L3" s="7" t="str">
        <f>"000032"</f>
        <v>000032</v>
      </c>
      <c r="M3" s="6">
        <v>43598</v>
      </c>
      <c r="N3" s="7">
        <v>16</v>
      </c>
      <c r="O3" s="7" t="str">
        <f>""</f>
        <v/>
      </c>
      <c r="P3" s="6"/>
      <c r="Q3" s="9">
        <v>6.4811399999999999</v>
      </c>
      <c r="R3" s="9">
        <v>0.81911</v>
      </c>
      <c r="S3" s="9">
        <v>5.6620299999999997</v>
      </c>
      <c r="T3" s="7">
        <v>17</v>
      </c>
      <c r="U3" s="6">
        <v>43567</v>
      </c>
      <c r="V3" s="7">
        <v>0</v>
      </c>
      <c r="W3" s="8" t="s">
        <v>52</v>
      </c>
      <c r="X3" s="7" t="s">
        <v>36</v>
      </c>
      <c r="Y3" s="8" t="s">
        <v>35</v>
      </c>
      <c r="Z3" s="7" t="s">
        <v>39</v>
      </c>
      <c r="AA3" s="8" t="s">
        <v>40</v>
      </c>
      <c r="AB3" s="9">
        <f t="shared" si="0"/>
        <v>6.4811400000000005E-2</v>
      </c>
    </row>
    <row r="4" spans="1:28" x14ac:dyDescent="0.35">
      <c r="A4" s="4">
        <v>5646</v>
      </c>
      <c r="B4" s="5" t="s">
        <v>28</v>
      </c>
      <c r="C4" s="6">
        <v>43571</v>
      </c>
      <c r="D4" s="7">
        <v>182</v>
      </c>
      <c r="E4" s="8" t="s">
        <v>46</v>
      </c>
      <c r="F4" s="7" t="s">
        <v>53</v>
      </c>
      <c r="G4" s="8" t="s">
        <v>54</v>
      </c>
      <c r="H4" s="7" t="str">
        <f>"000057"</f>
        <v>000057</v>
      </c>
      <c r="I4" s="6">
        <v>42908</v>
      </c>
      <c r="J4" s="7" t="str">
        <f>"000103"</f>
        <v>000103</v>
      </c>
      <c r="K4" s="6">
        <v>43512</v>
      </c>
      <c r="L4" s="7" t="str">
        <f>"000194"</f>
        <v>000194</v>
      </c>
      <c r="M4" s="6">
        <v>43512</v>
      </c>
      <c r="N4" s="7">
        <v>17</v>
      </c>
      <c r="O4" s="7" t="str">
        <f>"000399"</f>
        <v>000399</v>
      </c>
      <c r="P4" s="6">
        <v>43566</v>
      </c>
      <c r="Q4" s="9">
        <v>5.8029999999999999</v>
      </c>
      <c r="R4" s="9">
        <v>0.71625000000000005</v>
      </c>
      <c r="S4" s="9">
        <v>5.0867500000000003</v>
      </c>
      <c r="T4" s="7">
        <v>19</v>
      </c>
      <c r="U4" s="6">
        <v>43571</v>
      </c>
      <c r="V4" s="7">
        <v>9845158050</v>
      </c>
      <c r="W4" s="8" t="s">
        <v>55</v>
      </c>
      <c r="X4" s="7" t="s">
        <v>30</v>
      </c>
      <c r="Y4" s="8" t="s">
        <v>31</v>
      </c>
      <c r="Z4" s="7" t="s">
        <v>43</v>
      </c>
      <c r="AA4" s="8" t="s">
        <v>44</v>
      </c>
      <c r="AB4" s="9">
        <f t="shared" si="0"/>
        <v>5.8029999999999998E-2</v>
      </c>
    </row>
    <row r="5" spans="1:28" x14ac:dyDescent="0.35">
      <c r="A5" s="4">
        <v>5647</v>
      </c>
      <c r="B5" s="5" t="s">
        <v>28</v>
      </c>
      <c r="C5" s="6">
        <v>43575</v>
      </c>
      <c r="D5" s="7">
        <v>182</v>
      </c>
      <c r="E5" s="8" t="s">
        <v>46</v>
      </c>
      <c r="F5" s="7" t="s">
        <v>50</v>
      </c>
      <c r="G5" s="8" t="s">
        <v>51</v>
      </c>
      <c r="H5" s="7" t="str">
        <f>"000005"</f>
        <v>000005</v>
      </c>
      <c r="I5" s="6">
        <v>42930</v>
      </c>
      <c r="J5" s="7" t="str">
        <f>"000031"</f>
        <v>000031</v>
      </c>
      <c r="K5" s="6">
        <v>43598</v>
      </c>
      <c r="L5" s="7" t="str">
        <f>"000032"</f>
        <v>000032</v>
      </c>
      <c r="M5" s="6">
        <v>43598</v>
      </c>
      <c r="N5" s="7">
        <v>16</v>
      </c>
      <c r="O5" s="7" t="str">
        <f>""</f>
        <v/>
      </c>
      <c r="P5" s="6"/>
      <c r="Q5" s="9">
        <v>5.0647500000000001</v>
      </c>
      <c r="R5" s="9">
        <v>0.39874999999999999</v>
      </c>
      <c r="S5" s="9">
        <v>4.6660000000000004</v>
      </c>
      <c r="T5" s="7">
        <v>20</v>
      </c>
      <c r="U5" s="6">
        <v>43575</v>
      </c>
      <c r="V5" s="7">
        <v>0</v>
      </c>
      <c r="W5" s="8" t="s">
        <v>52</v>
      </c>
      <c r="X5" s="7" t="s">
        <v>36</v>
      </c>
      <c r="Y5" s="8" t="s">
        <v>35</v>
      </c>
      <c r="Z5" s="7" t="s">
        <v>39</v>
      </c>
      <c r="AA5" s="8" t="s">
        <v>40</v>
      </c>
      <c r="AB5" s="9">
        <f t="shared" si="0"/>
        <v>5.0647499999999998E-2</v>
      </c>
    </row>
    <row r="6" spans="1:28" x14ac:dyDescent="0.35">
      <c r="A6" s="4">
        <v>5648</v>
      </c>
      <c r="B6" s="5" t="s">
        <v>32</v>
      </c>
      <c r="C6" s="6">
        <v>43602</v>
      </c>
      <c r="D6" s="7">
        <v>182</v>
      </c>
      <c r="E6" s="8" t="s">
        <v>46</v>
      </c>
      <c r="F6" s="7" t="s">
        <v>56</v>
      </c>
      <c r="G6" s="8" t="s">
        <v>57</v>
      </c>
      <c r="H6" s="7" t="str">
        <f>"000007"</f>
        <v>000007</v>
      </c>
      <c r="I6" s="6">
        <v>42842</v>
      </c>
      <c r="J6" s="7" t="str">
        <f>"000102"</f>
        <v>000102</v>
      </c>
      <c r="K6" s="6">
        <v>42916</v>
      </c>
      <c r="L6" s="7" t="str">
        <f>"000006"</f>
        <v>000006</v>
      </c>
      <c r="M6" s="6">
        <v>42970</v>
      </c>
      <c r="N6" s="7">
        <v>17</v>
      </c>
      <c r="O6" s="7" t="str">
        <f>"001500"</f>
        <v>001500</v>
      </c>
      <c r="P6" s="6">
        <v>43599</v>
      </c>
      <c r="Q6" s="9">
        <v>9.7050000000000001</v>
      </c>
      <c r="R6" s="9">
        <v>1.09365</v>
      </c>
      <c r="S6" s="9">
        <v>8.6113499999999998</v>
      </c>
      <c r="T6" s="7">
        <v>49</v>
      </c>
      <c r="U6" s="6">
        <v>43602</v>
      </c>
      <c r="V6" s="7">
        <v>9845158050</v>
      </c>
      <c r="W6" s="8" t="s">
        <v>58</v>
      </c>
      <c r="X6" s="7" t="s">
        <v>30</v>
      </c>
      <c r="Y6" s="8" t="s">
        <v>31</v>
      </c>
      <c r="Z6" s="7" t="s">
        <v>43</v>
      </c>
      <c r="AA6" s="8" t="s">
        <v>44</v>
      </c>
      <c r="AB6" s="9">
        <f t="shared" si="0"/>
        <v>9.7049999999999997E-2</v>
      </c>
    </row>
    <row r="7" spans="1:28" x14ac:dyDescent="0.35">
      <c r="A7" s="4">
        <v>5649</v>
      </c>
      <c r="B7" s="5" t="s">
        <v>32</v>
      </c>
      <c r="C7" s="6">
        <v>43602</v>
      </c>
      <c r="D7" s="7">
        <v>182</v>
      </c>
      <c r="E7" s="8" t="s">
        <v>46</v>
      </c>
      <c r="F7" s="7" t="s">
        <v>59</v>
      </c>
      <c r="G7" s="8" t="s">
        <v>60</v>
      </c>
      <c r="H7" s="7" t="str">
        <f>"000055"</f>
        <v>000055</v>
      </c>
      <c r="I7" s="6">
        <v>42908</v>
      </c>
      <c r="J7" s="7" t="str">
        <f>"000013"</f>
        <v>000013</v>
      </c>
      <c r="K7" s="6">
        <v>42991</v>
      </c>
      <c r="L7" s="7" t="str">
        <f>"000023"</f>
        <v>000023</v>
      </c>
      <c r="M7" s="6">
        <v>43001</v>
      </c>
      <c r="N7" s="7">
        <v>17</v>
      </c>
      <c r="O7" s="7" t="str">
        <f>"001546"</f>
        <v>001546</v>
      </c>
      <c r="P7" s="6">
        <v>43599</v>
      </c>
      <c r="Q7" s="9">
        <v>57.376899999999999</v>
      </c>
      <c r="R7" s="9">
        <v>6.2722499999999997</v>
      </c>
      <c r="S7" s="9">
        <v>51.104649999999999</v>
      </c>
      <c r="T7" s="7">
        <v>49</v>
      </c>
      <c r="U7" s="6">
        <v>43602</v>
      </c>
      <c r="V7" s="7">
        <v>9448085873</v>
      </c>
      <c r="W7" s="8" t="s">
        <v>45</v>
      </c>
      <c r="X7" s="7" t="s">
        <v>41</v>
      </c>
      <c r="Y7" s="8" t="s">
        <v>42</v>
      </c>
      <c r="Z7" s="7" t="s">
        <v>43</v>
      </c>
      <c r="AA7" s="8" t="s">
        <v>44</v>
      </c>
      <c r="AB7" s="9">
        <f t="shared" si="0"/>
        <v>0.57376899999999997</v>
      </c>
    </row>
    <row r="8" spans="1:28" x14ac:dyDescent="0.35">
      <c r="A8" s="4">
        <v>5650</v>
      </c>
      <c r="B8" s="5" t="s">
        <v>32</v>
      </c>
      <c r="C8" s="6">
        <v>43602</v>
      </c>
      <c r="D8" s="7">
        <v>182</v>
      </c>
      <c r="E8" s="8" t="s">
        <v>46</v>
      </c>
      <c r="F8" s="7" t="s">
        <v>61</v>
      </c>
      <c r="G8" s="8" t="s">
        <v>62</v>
      </c>
      <c r="H8" s="7" t="str">
        <f>"000047"</f>
        <v>000047</v>
      </c>
      <c r="I8" s="6">
        <v>42748</v>
      </c>
      <c r="J8" s="7" t="str">
        <f>"000021"</f>
        <v>000021</v>
      </c>
      <c r="K8" s="6">
        <v>43003</v>
      </c>
      <c r="L8" s="7" t="str">
        <f>"000027"</f>
        <v>000027</v>
      </c>
      <c r="M8" s="6">
        <v>43004</v>
      </c>
      <c r="N8" s="7">
        <v>16</v>
      </c>
      <c r="O8" s="7" t="str">
        <f>"001549"</f>
        <v>001549</v>
      </c>
      <c r="P8" s="6">
        <v>43599</v>
      </c>
      <c r="Q8" s="9">
        <v>5.9132499999999997</v>
      </c>
      <c r="R8" s="9">
        <v>0.26700000000000002</v>
      </c>
      <c r="S8" s="9">
        <v>5.6462500000000002</v>
      </c>
      <c r="T8" s="7">
        <v>49</v>
      </c>
      <c r="U8" s="6">
        <v>43602</v>
      </c>
      <c r="V8" s="7">
        <v>9448592779</v>
      </c>
      <c r="W8" s="8" t="s">
        <v>63</v>
      </c>
      <c r="X8" s="7" t="s">
        <v>30</v>
      </c>
      <c r="Y8" s="8" t="s">
        <v>31</v>
      </c>
      <c r="Z8" s="7" t="s">
        <v>43</v>
      </c>
      <c r="AA8" s="8" t="s">
        <v>44</v>
      </c>
      <c r="AB8" s="9">
        <f t="shared" si="0"/>
        <v>5.9132499999999998E-2</v>
      </c>
    </row>
    <row r="9" spans="1:28" x14ac:dyDescent="0.35">
      <c r="A9" s="4">
        <v>5651</v>
      </c>
      <c r="B9" s="5" t="s">
        <v>32</v>
      </c>
      <c r="C9" s="6">
        <v>43603</v>
      </c>
      <c r="D9" s="7">
        <v>182</v>
      </c>
      <c r="E9" s="8" t="s">
        <v>46</v>
      </c>
      <c r="F9" s="7" t="s">
        <v>64</v>
      </c>
      <c r="G9" s="8" t="s">
        <v>65</v>
      </c>
      <c r="H9" s="7" t="str">
        <f>"000108"</f>
        <v>000108</v>
      </c>
      <c r="I9" s="6">
        <v>42826</v>
      </c>
      <c r="J9" s="7" t="str">
        <f>"000018"</f>
        <v>000018</v>
      </c>
      <c r="K9" s="6">
        <v>42991</v>
      </c>
      <c r="L9" s="7" t="str">
        <f>"000025"</f>
        <v>000025</v>
      </c>
      <c r="M9" s="6">
        <v>43001</v>
      </c>
      <c r="N9" s="7">
        <v>17</v>
      </c>
      <c r="O9" s="7" t="str">
        <f>"001665"</f>
        <v>001665</v>
      </c>
      <c r="P9" s="6">
        <v>43602</v>
      </c>
      <c r="Q9" s="9">
        <v>4.0174500000000002</v>
      </c>
      <c r="R9" s="9">
        <v>0.34744999999999998</v>
      </c>
      <c r="S9" s="9">
        <v>3.67</v>
      </c>
      <c r="T9" s="7">
        <v>50</v>
      </c>
      <c r="U9" s="6">
        <v>43603</v>
      </c>
      <c r="V9" s="7">
        <v>9008463969</v>
      </c>
      <c r="W9" s="8" t="s">
        <v>66</v>
      </c>
      <c r="X9" s="7" t="s">
        <v>30</v>
      </c>
      <c r="Y9" s="8" t="s">
        <v>31</v>
      </c>
      <c r="Z9" s="7" t="s">
        <v>43</v>
      </c>
      <c r="AA9" s="8" t="s">
        <v>44</v>
      </c>
      <c r="AB9" s="9">
        <f t="shared" si="0"/>
        <v>4.0174500000000002E-2</v>
      </c>
    </row>
    <row r="10" spans="1:28" x14ac:dyDescent="0.35">
      <c r="A10" s="4">
        <v>5652</v>
      </c>
      <c r="B10" s="5" t="s">
        <v>32</v>
      </c>
      <c r="C10" s="6">
        <v>43609</v>
      </c>
      <c r="D10" s="7">
        <v>182</v>
      </c>
      <c r="E10" s="8" t="s">
        <v>46</v>
      </c>
      <c r="F10" s="7" t="s">
        <v>67</v>
      </c>
      <c r="G10" s="8" t="s">
        <v>68</v>
      </c>
      <c r="H10" s="7" t="str">
        <f>"000003"</f>
        <v>000003</v>
      </c>
      <c r="I10" s="6">
        <v>42949</v>
      </c>
      <c r="J10" s="7" t="str">
        <f>"000027"</f>
        <v>000027</v>
      </c>
      <c r="K10" s="6">
        <v>43036</v>
      </c>
      <c r="L10" s="7" t="str">
        <f>"000046"</f>
        <v>000046</v>
      </c>
      <c r="M10" s="6">
        <v>43039</v>
      </c>
      <c r="N10" s="7">
        <v>17</v>
      </c>
      <c r="O10" s="7" t="str">
        <f>"001944"</f>
        <v>001944</v>
      </c>
      <c r="P10" s="6">
        <v>43607</v>
      </c>
      <c r="Q10" s="9">
        <v>13.94</v>
      </c>
      <c r="R10" s="9">
        <v>1.6207</v>
      </c>
      <c r="S10" s="9">
        <v>12.3193</v>
      </c>
      <c r="T10" s="7">
        <v>57</v>
      </c>
      <c r="U10" s="6">
        <v>43609</v>
      </c>
      <c r="V10" s="7">
        <v>9663453136</v>
      </c>
      <c r="W10" s="8" t="s">
        <v>69</v>
      </c>
      <c r="X10" s="7" t="s">
        <v>30</v>
      </c>
      <c r="Y10" s="8" t="s">
        <v>31</v>
      </c>
      <c r="Z10" s="7" t="s">
        <v>43</v>
      </c>
      <c r="AA10" s="8" t="s">
        <v>44</v>
      </c>
      <c r="AB10" s="9">
        <f t="shared" si="0"/>
        <v>0.1394</v>
      </c>
    </row>
    <row r="11" spans="1:28" x14ac:dyDescent="0.35">
      <c r="A11" s="4">
        <v>5653</v>
      </c>
      <c r="B11" s="5" t="s">
        <v>32</v>
      </c>
      <c r="C11" s="6">
        <v>43609</v>
      </c>
      <c r="D11" s="7">
        <v>182</v>
      </c>
      <c r="E11" s="8" t="s">
        <v>46</v>
      </c>
      <c r="F11" s="7" t="s">
        <v>70</v>
      </c>
      <c r="G11" s="8" t="s">
        <v>71</v>
      </c>
      <c r="H11" s="7" t="str">
        <f>"000102"</f>
        <v>000102</v>
      </c>
      <c r="I11" s="6">
        <v>42803</v>
      </c>
      <c r="J11" s="7" t="str">
        <f>"000022"</f>
        <v>000022</v>
      </c>
      <c r="K11" s="6">
        <v>43004</v>
      </c>
      <c r="L11" s="7" t="str">
        <f>"000052"</f>
        <v>000052</v>
      </c>
      <c r="M11" s="6">
        <v>43039</v>
      </c>
      <c r="N11" s="7">
        <v>17</v>
      </c>
      <c r="O11" s="7" t="str">
        <f>"001948"</f>
        <v>001948</v>
      </c>
      <c r="P11" s="6">
        <v>43607</v>
      </c>
      <c r="Q11" s="9">
        <v>17.794</v>
      </c>
      <c r="R11" s="9">
        <v>1.9068499999999999</v>
      </c>
      <c r="S11" s="9">
        <v>15.88715</v>
      </c>
      <c r="T11" s="7">
        <v>57</v>
      </c>
      <c r="U11" s="6">
        <v>43609</v>
      </c>
      <c r="V11" s="7">
        <v>9901698462</v>
      </c>
      <c r="W11" s="8" t="s">
        <v>72</v>
      </c>
      <c r="X11" s="7" t="s">
        <v>30</v>
      </c>
      <c r="Y11" s="8" t="s">
        <v>31</v>
      </c>
      <c r="Z11" s="7" t="s">
        <v>43</v>
      </c>
      <c r="AA11" s="8" t="s">
        <v>44</v>
      </c>
      <c r="AB11" s="9">
        <f t="shared" si="0"/>
        <v>0.17794000000000001</v>
      </c>
    </row>
    <row r="12" spans="1:28" x14ac:dyDescent="0.35">
      <c r="A12" s="4">
        <v>5654</v>
      </c>
      <c r="B12" s="5" t="s">
        <v>32</v>
      </c>
      <c r="C12" s="6">
        <v>43609</v>
      </c>
      <c r="D12" s="7">
        <v>182</v>
      </c>
      <c r="E12" s="8" t="s">
        <v>46</v>
      </c>
      <c r="F12" s="7" t="s">
        <v>73</v>
      </c>
      <c r="G12" s="8" t="s">
        <v>74</v>
      </c>
      <c r="H12" s="7" t="str">
        <f>"000101"</f>
        <v>000101</v>
      </c>
      <c r="I12" s="6">
        <v>42803</v>
      </c>
      <c r="J12" s="7" t="str">
        <f>"000023"</f>
        <v>000023</v>
      </c>
      <c r="K12" s="6">
        <v>43004</v>
      </c>
      <c r="L12" s="7" t="str">
        <f>"000053"</f>
        <v>000053</v>
      </c>
      <c r="M12" s="6">
        <v>43039</v>
      </c>
      <c r="N12" s="7">
        <v>17</v>
      </c>
      <c r="O12" s="7" t="str">
        <f>"001949"</f>
        <v>001949</v>
      </c>
      <c r="P12" s="6">
        <v>43607</v>
      </c>
      <c r="Q12" s="9">
        <v>18.044750000000001</v>
      </c>
      <c r="R12" s="9">
        <v>1.9908999999999999</v>
      </c>
      <c r="S12" s="9">
        <v>16.053850000000001</v>
      </c>
      <c r="T12" s="7">
        <v>57</v>
      </c>
      <c r="U12" s="6">
        <v>43609</v>
      </c>
      <c r="V12" s="7">
        <v>9901698462</v>
      </c>
      <c r="W12" s="8" t="s">
        <v>72</v>
      </c>
      <c r="X12" s="7" t="s">
        <v>30</v>
      </c>
      <c r="Y12" s="8" t="s">
        <v>31</v>
      </c>
      <c r="Z12" s="7" t="s">
        <v>43</v>
      </c>
      <c r="AA12" s="8" t="s">
        <v>44</v>
      </c>
      <c r="AB12" s="9">
        <f t="shared" si="0"/>
        <v>0.18044750000000001</v>
      </c>
    </row>
    <row r="13" spans="1:28" x14ac:dyDescent="0.35">
      <c r="A13" s="4">
        <v>5655</v>
      </c>
      <c r="B13" s="5" t="s">
        <v>29</v>
      </c>
      <c r="C13" s="6">
        <v>43628</v>
      </c>
      <c r="D13" s="7">
        <v>182</v>
      </c>
      <c r="E13" s="8" t="s">
        <v>46</v>
      </c>
      <c r="F13" s="7" t="s">
        <v>75</v>
      </c>
      <c r="G13" s="8" t="s">
        <v>76</v>
      </c>
      <c r="H13" s="7" t="str">
        <f>"000193"</f>
        <v>000193</v>
      </c>
      <c r="I13" s="6">
        <v>43522</v>
      </c>
      <c r="J13" s="7" t="str">
        <f>"000012"</f>
        <v>000012</v>
      </c>
      <c r="K13" s="6">
        <v>43584</v>
      </c>
      <c r="L13" s="7" t="str">
        <f>"000020"</f>
        <v>000020</v>
      </c>
      <c r="M13" s="6">
        <v>43584</v>
      </c>
      <c r="N13" s="7">
        <v>19</v>
      </c>
      <c r="O13" s="7" t="str">
        <f>"002513"</f>
        <v>002513</v>
      </c>
      <c r="P13" s="6">
        <v>43622</v>
      </c>
      <c r="Q13" s="9">
        <v>10.912699999999999</v>
      </c>
      <c r="R13" s="9">
        <v>1.1229499999999999</v>
      </c>
      <c r="S13" s="9">
        <v>9.7897499999999997</v>
      </c>
      <c r="T13" s="7">
        <v>78</v>
      </c>
      <c r="U13" s="6">
        <v>43628</v>
      </c>
      <c r="V13" s="7">
        <v>9900100668</v>
      </c>
      <c r="W13" s="8" t="s">
        <v>77</v>
      </c>
      <c r="X13" s="7" t="s">
        <v>33</v>
      </c>
      <c r="Y13" s="8" t="s">
        <v>34</v>
      </c>
      <c r="Z13" s="7" t="s">
        <v>43</v>
      </c>
      <c r="AA13" s="8" t="s">
        <v>44</v>
      </c>
      <c r="AB13" s="9">
        <v>0.10912699999999999</v>
      </c>
    </row>
    <row r="14" spans="1:28" x14ac:dyDescent="0.35">
      <c r="A14" s="4">
        <v>5656</v>
      </c>
      <c r="B14" s="5" t="s">
        <v>29</v>
      </c>
      <c r="C14" s="6">
        <v>43629</v>
      </c>
      <c r="D14" s="7">
        <v>182</v>
      </c>
      <c r="E14" s="8" t="s">
        <v>46</v>
      </c>
      <c r="F14" s="7" t="s">
        <v>78</v>
      </c>
      <c r="G14" s="8" t="s">
        <v>79</v>
      </c>
      <c r="H14" s="7" t="str">
        <f>"000183"</f>
        <v>000183</v>
      </c>
      <c r="I14" s="6">
        <v>43524</v>
      </c>
      <c r="J14" s="7" t="str">
        <f>"000208"</f>
        <v>000208</v>
      </c>
      <c r="K14" s="6">
        <v>43524</v>
      </c>
      <c r="L14" s="7" t="str">
        <f>"000209"</f>
        <v>000209</v>
      </c>
      <c r="M14" s="6">
        <v>43524</v>
      </c>
      <c r="N14" s="7">
        <v>19</v>
      </c>
      <c r="O14" s="7" t="str">
        <f>"002528"</f>
        <v>002528</v>
      </c>
      <c r="P14" s="6">
        <v>43623</v>
      </c>
      <c r="Q14" s="9">
        <v>29.999790000000001</v>
      </c>
      <c r="R14" s="9">
        <v>3.7157</v>
      </c>
      <c r="S14" s="9">
        <v>26.284089999999999</v>
      </c>
      <c r="T14" s="7">
        <v>81</v>
      </c>
      <c r="U14" s="6">
        <v>43629</v>
      </c>
      <c r="V14" s="7">
        <v>0</v>
      </c>
      <c r="W14" s="8" t="s">
        <v>80</v>
      </c>
      <c r="X14" s="7" t="s">
        <v>37</v>
      </c>
      <c r="Y14" s="8" t="s">
        <v>38</v>
      </c>
      <c r="Z14" s="7" t="s">
        <v>39</v>
      </c>
      <c r="AA14" s="8" t="s">
        <v>40</v>
      </c>
      <c r="AB14" s="9">
        <v>0.29999789999999998</v>
      </c>
    </row>
    <row r="15" spans="1:28" x14ac:dyDescent="0.35">
      <c r="A15" s="4">
        <v>5657</v>
      </c>
      <c r="B15" s="5" t="s">
        <v>81</v>
      </c>
      <c r="C15" s="6">
        <v>43648</v>
      </c>
      <c r="D15" s="7">
        <v>182</v>
      </c>
      <c r="E15" s="8" t="s">
        <v>46</v>
      </c>
      <c r="F15" s="7" t="s">
        <v>50</v>
      </c>
      <c r="G15" s="10" t="s">
        <v>51</v>
      </c>
      <c r="H15" s="7" t="str">
        <f>"000005"</f>
        <v>000005</v>
      </c>
      <c r="I15" s="6">
        <v>42930</v>
      </c>
      <c r="J15" s="7" t="str">
        <f>"000194"</f>
        <v>000194</v>
      </c>
      <c r="K15" s="6">
        <v>43773</v>
      </c>
      <c r="L15" s="7" t="str">
        <f>"000192"</f>
        <v>000192</v>
      </c>
      <c r="M15" s="6">
        <v>43773</v>
      </c>
      <c r="N15" s="7">
        <v>16</v>
      </c>
      <c r="O15" s="7" t="str">
        <f>"006340"</f>
        <v>006340</v>
      </c>
      <c r="P15" s="6">
        <v>43791</v>
      </c>
      <c r="Q15" s="11">
        <v>3.0388500000000001</v>
      </c>
      <c r="R15" s="11">
        <v>0.24825</v>
      </c>
      <c r="S15" s="11">
        <v>2.7906</v>
      </c>
      <c r="T15" s="7">
        <v>102</v>
      </c>
      <c r="U15" s="6">
        <v>43648</v>
      </c>
      <c r="V15" s="7">
        <v>0</v>
      </c>
      <c r="W15" s="10" t="s">
        <v>52</v>
      </c>
      <c r="X15" s="7" t="s">
        <v>36</v>
      </c>
      <c r="Y15" s="10" t="s">
        <v>35</v>
      </c>
      <c r="Z15" s="7" t="s">
        <v>39</v>
      </c>
      <c r="AA15" s="10" t="s">
        <v>40</v>
      </c>
      <c r="AB15" s="11">
        <f t="shared" ref="AB15:AB30" si="1">Q15/100</f>
        <v>3.0388499999999999E-2</v>
      </c>
    </row>
    <row r="16" spans="1:28" x14ac:dyDescent="0.35">
      <c r="A16" s="4">
        <v>5658</v>
      </c>
      <c r="B16" s="5" t="s">
        <v>81</v>
      </c>
      <c r="C16" s="6">
        <v>43658</v>
      </c>
      <c r="D16" s="7">
        <v>182</v>
      </c>
      <c r="E16" s="8" t="s">
        <v>46</v>
      </c>
      <c r="F16" s="7" t="s">
        <v>82</v>
      </c>
      <c r="G16" s="10" t="s">
        <v>83</v>
      </c>
      <c r="H16" s="7" t="str">
        <f>"000130"</f>
        <v>000130</v>
      </c>
      <c r="I16" s="6">
        <v>43185</v>
      </c>
      <c r="J16" s="7" t="str">
        <f>"000015"</f>
        <v>000015</v>
      </c>
      <c r="K16" s="6">
        <v>43584</v>
      </c>
      <c r="L16" s="7" t="str">
        <f>"000019"</f>
        <v>000019</v>
      </c>
      <c r="M16" s="6">
        <v>43584</v>
      </c>
      <c r="N16" s="7">
        <v>18</v>
      </c>
      <c r="O16" s="7" t="str">
        <f>"003288"</f>
        <v>003288</v>
      </c>
      <c r="P16" s="6">
        <v>43650</v>
      </c>
      <c r="Q16" s="11">
        <v>40.61</v>
      </c>
      <c r="R16" s="11">
        <v>5.6818</v>
      </c>
      <c r="S16" s="11">
        <v>34.928199999999997</v>
      </c>
      <c r="T16" s="7">
        <v>112</v>
      </c>
      <c r="U16" s="6">
        <v>43658</v>
      </c>
      <c r="V16" s="7">
        <v>9986697126</v>
      </c>
      <c r="W16" s="10" t="s">
        <v>84</v>
      </c>
      <c r="X16" s="7" t="s">
        <v>85</v>
      </c>
      <c r="Y16" s="10" t="s">
        <v>86</v>
      </c>
      <c r="Z16" s="7" t="s">
        <v>43</v>
      </c>
      <c r="AA16" s="10" t="s">
        <v>44</v>
      </c>
      <c r="AB16" s="11">
        <f t="shared" si="1"/>
        <v>0.40610000000000002</v>
      </c>
    </row>
    <row r="17" spans="1:28" x14ac:dyDescent="0.35">
      <c r="A17" s="4">
        <v>5659</v>
      </c>
      <c r="B17" s="5" t="s">
        <v>81</v>
      </c>
      <c r="C17" s="6">
        <v>43658</v>
      </c>
      <c r="D17" s="7">
        <v>182</v>
      </c>
      <c r="E17" s="8" t="s">
        <v>46</v>
      </c>
      <c r="F17" s="7" t="s">
        <v>87</v>
      </c>
      <c r="G17" s="10" t="s">
        <v>88</v>
      </c>
      <c r="H17" s="7" t="str">
        <f>"000131"</f>
        <v>000131</v>
      </c>
      <c r="I17" s="6">
        <v>43185</v>
      </c>
      <c r="J17" s="7" t="str">
        <f>"000014"</f>
        <v>000014</v>
      </c>
      <c r="K17" s="6">
        <v>43584</v>
      </c>
      <c r="L17" s="7" t="str">
        <f>"000018"</f>
        <v>000018</v>
      </c>
      <c r="M17" s="6">
        <v>43584</v>
      </c>
      <c r="N17" s="7">
        <v>18</v>
      </c>
      <c r="O17" s="7" t="str">
        <f>"003289"</f>
        <v>003289</v>
      </c>
      <c r="P17" s="6">
        <v>43650</v>
      </c>
      <c r="Q17" s="11">
        <v>42.595500000000001</v>
      </c>
      <c r="R17" s="11">
        <v>6.0841500000000002</v>
      </c>
      <c r="S17" s="11">
        <v>36.51135</v>
      </c>
      <c r="T17" s="7">
        <v>112</v>
      </c>
      <c r="U17" s="6">
        <v>43658</v>
      </c>
      <c r="V17" s="7">
        <v>9986697126</v>
      </c>
      <c r="W17" s="10" t="s">
        <v>84</v>
      </c>
      <c r="X17" s="7" t="s">
        <v>85</v>
      </c>
      <c r="Y17" s="10" t="s">
        <v>86</v>
      </c>
      <c r="Z17" s="7" t="s">
        <v>43</v>
      </c>
      <c r="AA17" s="10" t="s">
        <v>44</v>
      </c>
      <c r="AB17" s="11">
        <f t="shared" si="1"/>
        <v>0.42595500000000003</v>
      </c>
    </row>
    <row r="18" spans="1:28" x14ac:dyDescent="0.35">
      <c r="A18" s="4">
        <v>5660</v>
      </c>
      <c r="B18" s="5" t="s">
        <v>81</v>
      </c>
      <c r="C18" s="6">
        <v>43664</v>
      </c>
      <c r="D18" s="7">
        <v>182</v>
      </c>
      <c r="E18" s="8" t="s">
        <v>46</v>
      </c>
      <c r="F18" s="7" t="s">
        <v>50</v>
      </c>
      <c r="G18" s="10" t="s">
        <v>51</v>
      </c>
      <c r="H18" s="7" t="str">
        <f>"000005"</f>
        <v>000005</v>
      </c>
      <c r="I18" s="6">
        <v>42930</v>
      </c>
      <c r="J18" s="7" t="str">
        <f>"000194"</f>
        <v>000194</v>
      </c>
      <c r="K18" s="6">
        <v>43773</v>
      </c>
      <c r="L18" s="7" t="str">
        <f>"000192"</f>
        <v>000192</v>
      </c>
      <c r="M18" s="6">
        <v>43773</v>
      </c>
      <c r="N18" s="7">
        <v>16</v>
      </c>
      <c r="O18" s="7" t="str">
        <f>"006340"</f>
        <v>006340</v>
      </c>
      <c r="P18" s="6">
        <v>43791</v>
      </c>
      <c r="Q18" s="11">
        <v>3.0388500000000001</v>
      </c>
      <c r="R18" s="11">
        <v>0.24424999999999999</v>
      </c>
      <c r="S18" s="11">
        <v>2.7946</v>
      </c>
      <c r="T18" s="7">
        <v>115</v>
      </c>
      <c r="U18" s="6">
        <v>43664</v>
      </c>
      <c r="V18" s="7">
        <v>0</v>
      </c>
      <c r="W18" s="10" t="s">
        <v>52</v>
      </c>
      <c r="X18" s="7" t="s">
        <v>36</v>
      </c>
      <c r="Y18" s="10" t="s">
        <v>35</v>
      </c>
      <c r="Z18" s="7" t="s">
        <v>39</v>
      </c>
      <c r="AA18" s="10" t="s">
        <v>40</v>
      </c>
      <c r="AB18" s="11">
        <f t="shared" si="1"/>
        <v>3.0388499999999999E-2</v>
      </c>
    </row>
    <row r="19" spans="1:28" x14ac:dyDescent="0.35">
      <c r="A19" s="4">
        <v>5661</v>
      </c>
      <c r="B19" s="5" t="s">
        <v>81</v>
      </c>
      <c r="C19" s="6">
        <v>43665</v>
      </c>
      <c r="D19" s="7">
        <v>182</v>
      </c>
      <c r="E19" s="8" t="s">
        <v>46</v>
      </c>
      <c r="F19" s="7" t="s">
        <v>89</v>
      </c>
      <c r="G19" s="10" t="s">
        <v>90</v>
      </c>
      <c r="H19" s="7" t="str">
        <f>"000184"</f>
        <v>000184</v>
      </c>
      <c r="I19" s="6">
        <v>43175</v>
      </c>
      <c r="J19" s="7" t="str">
        <f>"000159"</f>
        <v>000159</v>
      </c>
      <c r="K19" s="6">
        <v>43187</v>
      </c>
      <c r="L19" s="7" t="str">
        <f>"000164"</f>
        <v>000164</v>
      </c>
      <c r="M19" s="6">
        <v>43187</v>
      </c>
      <c r="N19" s="7">
        <v>18</v>
      </c>
      <c r="O19" s="7" t="str">
        <f>"003847"</f>
        <v>003847</v>
      </c>
      <c r="P19" s="6">
        <v>43665</v>
      </c>
      <c r="Q19" s="11">
        <v>24.996829999999999</v>
      </c>
      <c r="R19" s="11">
        <v>3.14961</v>
      </c>
      <c r="S19" s="11">
        <v>21.84722</v>
      </c>
      <c r="T19" s="7">
        <v>118</v>
      </c>
      <c r="U19" s="6">
        <v>43665</v>
      </c>
      <c r="V19" s="7">
        <v>0</v>
      </c>
      <c r="W19" s="10" t="s">
        <v>91</v>
      </c>
      <c r="X19" s="7" t="s">
        <v>92</v>
      </c>
      <c r="Y19" s="10" t="s">
        <v>93</v>
      </c>
      <c r="Z19" s="7" t="s">
        <v>39</v>
      </c>
      <c r="AA19" s="10" t="s">
        <v>40</v>
      </c>
      <c r="AB19" s="11">
        <f t="shared" si="1"/>
        <v>0.2499683</v>
      </c>
    </row>
    <row r="20" spans="1:28" x14ac:dyDescent="0.35">
      <c r="A20" s="4">
        <v>5662</v>
      </c>
      <c r="B20" s="5" t="s">
        <v>81</v>
      </c>
      <c r="C20" s="6">
        <v>43665</v>
      </c>
      <c r="D20" s="7">
        <v>182</v>
      </c>
      <c r="E20" s="8" t="s">
        <v>46</v>
      </c>
      <c r="F20" s="7" t="s">
        <v>94</v>
      </c>
      <c r="G20" s="10" t="s">
        <v>95</v>
      </c>
      <c r="H20" s="7" t="str">
        <f>"000188"</f>
        <v>000188</v>
      </c>
      <c r="I20" s="6">
        <v>43176</v>
      </c>
      <c r="J20" s="7" t="str">
        <f>"000160"</f>
        <v>000160</v>
      </c>
      <c r="K20" s="6">
        <v>43187</v>
      </c>
      <c r="L20" s="7" t="str">
        <f>"000165"</f>
        <v>000165</v>
      </c>
      <c r="M20" s="6">
        <v>43187</v>
      </c>
      <c r="N20" s="7">
        <v>18</v>
      </c>
      <c r="O20" s="7" t="str">
        <f>"003848"</f>
        <v>003848</v>
      </c>
      <c r="P20" s="6">
        <v>43665</v>
      </c>
      <c r="Q20" s="11">
        <v>24.999919999999999</v>
      </c>
      <c r="R20" s="11">
        <v>3.1499899999999998</v>
      </c>
      <c r="S20" s="11">
        <v>21.849930000000001</v>
      </c>
      <c r="T20" s="7">
        <v>118</v>
      </c>
      <c r="U20" s="6">
        <v>43665</v>
      </c>
      <c r="V20" s="7">
        <v>0</v>
      </c>
      <c r="W20" s="10" t="s">
        <v>91</v>
      </c>
      <c r="X20" s="7" t="s">
        <v>92</v>
      </c>
      <c r="Y20" s="10" t="s">
        <v>93</v>
      </c>
      <c r="Z20" s="7" t="s">
        <v>39</v>
      </c>
      <c r="AA20" s="10" t="s">
        <v>40</v>
      </c>
      <c r="AB20" s="11">
        <f t="shared" si="1"/>
        <v>0.2499992</v>
      </c>
    </row>
    <row r="21" spans="1:28" x14ac:dyDescent="0.35">
      <c r="A21" s="4">
        <v>5663</v>
      </c>
      <c r="B21" s="5" t="s">
        <v>81</v>
      </c>
      <c r="C21" s="6">
        <v>43669</v>
      </c>
      <c r="D21" s="7">
        <v>182</v>
      </c>
      <c r="E21" s="8" t="s">
        <v>46</v>
      </c>
      <c r="F21" s="7" t="s">
        <v>96</v>
      </c>
      <c r="G21" s="10" t="s">
        <v>97</v>
      </c>
      <c r="H21" s="7" t="str">
        <f>"000037"</f>
        <v>000037</v>
      </c>
      <c r="I21" s="6">
        <v>43031</v>
      </c>
      <c r="J21" s="7" t="str">
        <f>"000052"</f>
        <v>000052</v>
      </c>
      <c r="K21" s="6">
        <v>43125</v>
      </c>
      <c r="L21" s="7" t="str">
        <f>"000088"</f>
        <v>000088</v>
      </c>
      <c r="M21" s="6">
        <v>43146</v>
      </c>
      <c r="N21" s="7">
        <v>17</v>
      </c>
      <c r="O21" s="7" t="str">
        <f>"003693"</f>
        <v>003693</v>
      </c>
      <c r="P21" s="6">
        <v>43664</v>
      </c>
      <c r="Q21" s="11">
        <v>5.0608000000000004</v>
      </c>
      <c r="R21" s="11">
        <v>0.64295000000000002</v>
      </c>
      <c r="S21" s="11">
        <v>4.4178499999999996</v>
      </c>
      <c r="T21" s="7">
        <v>122</v>
      </c>
      <c r="U21" s="6">
        <v>43669</v>
      </c>
      <c r="V21" s="7">
        <v>9986697126</v>
      </c>
      <c r="W21" s="10" t="s">
        <v>98</v>
      </c>
      <c r="X21" s="7" t="s">
        <v>30</v>
      </c>
      <c r="Y21" s="10" t="s">
        <v>31</v>
      </c>
      <c r="Z21" s="7" t="s">
        <v>43</v>
      </c>
      <c r="AA21" s="10" t="s">
        <v>44</v>
      </c>
      <c r="AB21" s="11">
        <f t="shared" si="1"/>
        <v>5.0608000000000007E-2</v>
      </c>
    </row>
    <row r="22" spans="1:28" x14ac:dyDescent="0.35">
      <c r="A22" s="4">
        <v>5664</v>
      </c>
      <c r="B22" s="5" t="s">
        <v>81</v>
      </c>
      <c r="C22" s="6">
        <v>43669</v>
      </c>
      <c r="D22" s="7">
        <v>182</v>
      </c>
      <c r="E22" s="8" t="s">
        <v>46</v>
      </c>
      <c r="F22" s="7" t="s">
        <v>99</v>
      </c>
      <c r="G22" s="10" t="s">
        <v>100</v>
      </c>
      <c r="H22" s="7" t="str">
        <f>"000008"</f>
        <v>000008</v>
      </c>
      <c r="I22" s="6">
        <v>42843</v>
      </c>
      <c r="J22" s="7" t="str">
        <f>"000058"</f>
        <v>000058</v>
      </c>
      <c r="K22" s="6">
        <v>43147</v>
      </c>
      <c r="L22" s="7" t="str">
        <f>"000104"</f>
        <v>000104</v>
      </c>
      <c r="M22" s="6">
        <v>43152</v>
      </c>
      <c r="N22" s="7">
        <v>17</v>
      </c>
      <c r="O22" s="7" t="str">
        <f>"003696"</f>
        <v>003696</v>
      </c>
      <c r="P22" s="6">
        <v>43664</v>
      </c>
      <c r="Q22" s="11">
        <v>28.084900000000001</v>
      </c>
      <c r="R22" s="11">
        <v>3.2000999999999999</v>
      </c>
      <c r="S22" s="11">
        <v>24.884799999999998</v>
      </c>
      <c r="T22" s="7">
        <v>122</v>
      </c>
      <c r="U22" s="6">
        <v>43669</v>
      </c>
      <c r="V22" s="7">
        <v>9845797979</v>
      </c>
      <c r="W22" s="10" t="s">
        <v>101</v>
      </c>
      <c r="X22" s="7" t="s">
        <v>41</v>
      </c>
      <c r="Y22" s="10" t="s">
        <v>42</v>
      </c>
      <c r="Z22" s="7" t="s">
        <v>43</v>
      </c>
      <c r="AA22" s="10" t="s">
        <v>44</v>
      </c>
      <c r="AB22" s="11">
        <f t="shared" si="1"/>
        <v>0.28084900000000002</v>
      </c>
    </row>
    <row r="23" spans="1:28" x14ac:dyDescent="0.35">
      <c r="A23" s="4">
        <v>5665</v>
      </c>
      <c r="B23" s="5" t="s">
        <v>81</v>
      </c>
      <c r="C23" s="6">
        <v>43677</v>
      </c>
      <c r="D23" s="7">
        <v>182</v>
      </c>
      <c r="E23" s="8" t="s">
        <v>46</v>
      </c>
      <c r="F23" s="7" t="s">
        <v>102</v>
      </c>
      <c r="G23" s="10" t="s">
        <v>103</v>
      </c>
      <c r="H23" s="7" t="str">
        <f>"000103"</f>
        <v>000103</v>
      </c>
      <c r="I23" s="6">
        <v>42803</v>
      </c>
      <c r="J23" s="7" t="str">
        <f>"000082"</f>
        <v>000082</v>
      </c>
      <c r="K23" s="6">
        <v>43159</v>
      </c>
      <c r="L23" s="7" t="str">
        <f>"000148"</f>
        <v>000148</v>
      </c>
      <c r="M23" s="6">
        <v>43159</v>
      </c>
      <c r="N23" s="7">
        <v>17</v>
      </c>
      <c r="O23" s="7" t="str">
        <f>"004011"</f>
        <v>004011</v>
      </c>
      <c r="P23" s="6">
        <v>43671</v>
      </c>
      <c r="Q23" s="11">
        <v>18.09</v>
      </c>
      <c r="R23" s="11">
        <v>2.0417000000000001</v>
      </c>
      <c r="S23" s="11">
        <v>16.048300000000001</v>
      </c>
      <c r="T23" s="7">
        <v>135</v>
      </c>
      <c r="U23" s="6">
        <v>43677</v>
      </c>
      <c r="V23" s="7">
        <v>9901698462</v>
      </c>
      <c r="W23" s="10" t="s">
        <v>104</v>
      </c>
      <c r="X23" s="7" t="s">
        <v>30</v>
      </c>
      <c r="Y23" s="10" t="s">
        <v>31</v>
      </c>
      <c r="Z23" s="7" t="s">
        <v>43</v>
      </c>
      <c r="AA23" s="10" t="s">
        <v>44</v>
      </c>
      <c r="AB23" s="11">
        <f t="shared" si="1"/>
        <v>0.18090000000000001</v>
      </c>
    </row>
    <row r="24" spans="1:28" x14ac:dyDescent="0.35">
      <c r="A24" s="4">
        <v>5666</v>
      </c>
      <c r="B24" s="5" t="s">
        <v>105</v>
      </c>
      <c r="C24" s="6">
        <v>43679</v>
      </c>
      <c r="D24" s="7">
        <v>182</v>
      </c>
      <c r="E24" s="8" t="s">
        <v>46</v>
      </c>
      <c r="F24" s="7" t="s">
        <v>106</v>
      </c>
      <c r="G24" s="10" t="s">
        <v>107</v>
      </c>
      <c r="H24" s="7" t="str">
        <f>"000096"</f>
        <v>000096</v>
      </c>
      <c r="I24" s="6">
        <v>43534</v>
      </c>
      <c r="J24" s="7" t="str">
        <f>"000041"</f>
        <v>000041</v>
      </c>
      <c r="K24" s="6">
        <v>43663</v>
      </c>
      <c r="L24" s="7" t="str">
        <f>"000042"</f>
        <v>000042</v>
      </c>
      <c r="M24" s="6">
        <v>43664</v>
      </c>
      <c r="N24" s="7">
        <v>18</v>
      </c>
      <c r="O24" s="7" t="str">
        <f>"004122"</f>
        <v>004122</v>
      </c>
      <c r="P24" s="6">
        <v>43676</v>
      </c>
      <c r="Q24" s="11">
        <v>63.667479999999998</v>
      </c>
      <c r="R24" s="11">
        <v>7.4491500000000004</v>
      </c>
      <c r="S24" s="11">
        <v>56.218330000000002</v>
      </c>
      <c r="T24" s="7">
        <v>139</v>
      </c>
      <c r="U24" s="6">
        <v>43679</v>
      </c>
      <c r="V24" s="7">
        <v>9845388800</v>
      </c>
      <c r="W24" s="10" t="s">
        <v>84</v>
      </c>
      <c r="X24" s="7" t="s">
        <v>108</v>
      </c>
      <c r="Y24" s="10" t="s">
        <v>109</v>
      </c>
      <c r="Z24" s="7" t="s">
        <v>110</v>
      </c>
      <c r="AA24" s="10" t="s">
        <v>111</v>
      </c>
      <c r="AB24" s="11">
        <f t="shared" si="1"/>
        <v>0.63667479999999999</v>
      </c>
    </row>
    <row r="25" spans="1:28" x14ac:dyDescent="0.35">
      <c r="A25" s="4">
        <v>5667</v>
      </c>
      <c r="B25" s="5" t="s">
        <v>105</v>
      </c>
      <c r="C25" s="6">
        <v>43696</v>
      </c>
      <c r="D25" s="7">
        <v>182</v>
      </c>
      <c r="E25" s="8" t="s">
        <v>46</v>
      </c>
      <c r="F25" s="7" t="s">
        <v>112</v>
      </c>
      <c r="G25" s="10" t="s">
        <v>113</v>
      </c>
      <c r="H25" s="7" t="str">
        <f>"000091"</f>
        <v>000091</v>
      </c>
      <c r="I25" s="6">
        <v>43130</v>
      </c>
      <c r="J25" s="7" t="str">
        <f>"000089"</f>
        <v>000089</v>
      </c>
      <c r="K25" s="6">
        <v>43186</v>
      </c>
      <c r="L25" s="7" t="str">
        <f>"000174"</f>
        <v>000174</v>
      </c>
      <c r="M25" s="6">
        <v>43187</v>
      </c>
      <c r="N25" s="7">
        <v>18</v>
      </c>
      <c r="O25" s="7" t="str">
        <f>"004489"</f>
        <v>004489</v>
      </c>
      <c r="P25" s="6">
        <v>43691</v>
      </c>
      <c r="Q25" s="11">
        <v>21.925000000000001</v>
      </c>
      <c r="R25" s="11">
        <v>2.52915</v>
      </c>
      <c r="S25" s="11">
        <v>19.395849999999999</v>
      </c>
      <c r="T25" s="7">
        <v>158</v>
      </c>
      <c r="U25" s="6">
        <v>43696</v>
      </c>
      <c r="V25" s="7">
        <v>9448085873</v>
      </c>
      <c r="W25" s="10" t="s">
        <v>45</v>
      </c>
      <c r="X25" s="7" t="s">
        <v>41</v>
      </c>
      <c r="Y25" s="10" t="s">
        <v>42</v>
      </c>
      <c r="Z25" s="7" t="s">
        <v>43</v>
      </c>
      <c r="AA25" s="10" t="s">
        <v>44</v>
      </c>
      <c r="AB25" s="11">
        <f t="shared" si="1"/>
        <v>0.21925</v>
      </c>
    </row>
    <row r="26" spans="1:28" x14ac:dyDescent="0.35">
      <c r="A26" s="4">
        <v>5668</v>
      </c>
      <c r="B26" s="5" t="s">
        <v>105</v>
      </c>
      <c r="C26" s="6">
        <v>43696</v>
      </c>
      <c r="D26" s="7">
        <v>182</v>
      </c>
      <c r="E26" s="8" t="s">
        <v>46</v>
      </c>
      <c r="F26" s="7" t="s">
        <v>114</v>
      </c>
      <c r="G26" s="10" t="s">
        <v>115</v>
      </c>
      <c r="H26" s="7" t="str">
        <f>"000092"</f>
        <v>000092</v>
      </c>
      <c r="I26" s="6">
        <v>43131</v>
      </c>
      <c r="J26" s="7" t="str">
        <f>"000090"</f>
        <v>000090</v>
      </c>
      <c r="K26" s="6">
        <v>43186</v>
      </c>
      <c r="L26" s="7" t="str">
        <f>"000175"</f>
        <v>000175</v>
      </c>
      <c r="M26" s="6">
        <v>43187</v>
      </c>
      <c r="N26" s="7">
        <v>18</v>
      </c>
      <c r="O26" s="7" t="str">
        <f>"004490"</f>
        <v>004490</v>
      </c>
      <c r="P26" s="6">
        <v>43691</v>
      </c>
      <c r="Q26" s="11">
        <v>44.966999999999999</v>
      </c>
      <c r="R26" s="11">
        <v>5.3327499999999999</v>
      </c>
      <c r="S26" s="11">
        <v>39.634250000000002</v>
      </c>
      <c r="T26" s="7">
        <v>158</v>
      </c>
      <c r="U26" s="6">
        <v>43696</v>
      </c>
      <c r="V26" s="7">
        <v>9448085873</v>
      </c>
      <c r="W26" s="10" t="s">
        <v>116</v>
      </c>
      <c r="X26" s="7" t="s">
        <v>41</v>
      </c>
      <c r="Y26" s="10" t="s">
        <v>42</v>
      </c>
      <c r="Z26" s="7" t="s">
        <v>43</v>
      </c>
      <c r="AA26" s="10" t="s">
        <v>44</v>
      </c>
      <c r="AB26" s="11">
        <f t="shared" si="1"/>
        <v>0.44967000000000001</v>
      </c>
    </row>
    <row r="27" spans="1:28" x14ac:dyDescent="0.35">
      <c r="A27" s="4">
        <v>5669</v>
      </c>
      <c r="B27" s="5" t="s">
        <v>117</v>
      </c>
      <c r="C27" s="6">
        <v>43717</v>
      </c>
      <c r="D27" s="7">
        <v>182</v>
      </c>
      <c r="E27" s="8" t="s">
        <v>46</v>
      </c>
      <c r="F27" s="7" t="s">
        <v>118</v>
      </c>
      <c r="G27" s="10" t="s">
        <v>119</v>
      </c>
      <c r="H27" s="7" t="str">
        <f>"000027"</f>
        <v>000027</v>
      </c>
      <c r="I27" s="6">
        <v>43603</v>
      </c>
      <c r="J27" s="7" t="str">
        <f>"000046"</f>
        <v>000046</v>
      </c>
      <c r="K27" s="6">
        <v>43661</v>
      </c>
      <c r="L27" s="7" t="str">
        <f>"000095"</f>
        <v>000095</v>
      </c>
      <c r="M27" s="6">
        <v>43662</v>
      </c>
      <c r="N27" s="7">
        <v>19</v>
      </c>
      <c r="O27" s="7" t="str">
        <f>"004802"</f>
        <v>004802</v>
      </c>
      <c r="P27" s="6">
        <v>43704</v>
      </c>
      <c r="Q27" s="11">
        <v>5.3970000000000002</v>
      </c>
      <c r="R27" s="11">
        <v>0.58169999999999999</v>
      </c>
      <c r="S27" s="11">
        <v>4.8152999999999997</v>
      </c>
      <c r="T27" s="7">
        <v>178</v>
      </c>
      <c r="U27" s="6">
        <v>43717</v>
      </c>
      <c r="V27" s="7">
        <v>9845158050</v>
      </c>
      <c r="W27" s="10" t="s">
        <v>58</v>
      </c>
      <c r="X27" s="7" t="s">
        <v>33</v>
      </c>
      <c r="Y27" s="10" t="s">
        <v>34</v>
      </c>
      <c r="Z27" s="7" t="s">
        <v>43</v>
      </c>
      <c r="AA27" s="10" t="s">
        <v>44</v>
      </c>
      <c r="AB27" s="11">
        <f t="shared" si="1"/>
        <v>5.3970000000000004E-2</v>
      </c>
    </row>
    <row r="28" spans="1:28" x14ac:dyDescent="0.35">
      <c r="A28" s="4">
        <v>5670</v>
      </c>
      <c r="B28" s="5" t="s">
        <v>117</v>
      </c>
      <c r="C28" s="6">
        <v>43721</v>
      </c>
      <c r="D28" s="7">
        <v>182</v>
      </c>
      <c r="E28" s="8" t="s">
        <v>46</v>
      </c>
      <c r="F28" s="7" t="s">
        <v>120</v>
      </c>
      <c r="G28" s="10" t="s">
        <v>121</v>
      </c>
      <c r="H28" s="7" t="str">
        <f>"000095"</f>
        <v>000095</v>
      </c>
      <c r="I28" s="6">
        <v>43534</v>
      </c>
      <c r="J28" s="7" t="str">
        <f>"000051"</f>
        <v>000051</v>
      </c>
      <c r="K28" s="6">
        <v>43699</v>
      </c>
      <c r="L28" s="7" t="str">
        <f>"000050"</f>
        <v>000050</v>
      </c>
      <c r="M28" s="6">
        <v>43699</v>
      </c>
      <c r="N28" s="7">
        <v>18</v>
      </c>
      <c r="O28" s="7" t="str">
        <f>"005069"</f>
        <v>005069</v>
      </c>
      <c r="P28" s="6">
        <v>43720</v>
      </c>
      <c r="Q28" s="11">
        <v>48.846429999999998</v>
      </c>
      <c r="R28" s="11">
        <v>5.7116499999999997</v>
      </c>
      <c r="S28" s="11">
        <v>43.134779999999999</v>
      </c>
      <c r="T28" s="7">
        <v>185</v>
      </c>
      <c r="U28" s="6">
        <v>43721</v>
      </c>
      <c r="V28" s="7">
        <v>9845388800</v>
      </c>
      <c r="W28" s="10" t="s">
        <v>84</v>
      </c>
      <c r="X28" s="7" t="s">
        <v>108</v>
      </c>
      <c r="Y28" s="10" t="s">
        <v>109</v>
      </c>
      <c r="Z28" s="7" t="s">
        <v>110</v>
      </c>
      <c r="AA28" s="10" t="s">
        <v>111</v>
      </c>
      <c r="AB28" s="11">
        <f t="shared" si="1"/>
        <v>0.48846429999999996</v>
      </c>
    </row>
    <row r="29" spans="1:28" x14ac:dyDescent="0.35">
      <c r="A29" s="4">
        <v>5671</v>
      </c>
      <c r="B29" s="5" t="s">
        <v>117</v>
      </c>
      <c r="C29" s="6">
        <v>43721</v>
      </c>
      <c r="D29" s="7">
        <v>182</v>
      </c>
      <c r="E29" s="8" t="s">
        <v>46</v>
      </c>
      <c r="F29" s="7" t="s">
        <v>122</v>
      </c>
      <c r="G29" s="10" t="s">
        <v>123</v>
      </c>
      <c r="H29" s="7" t="str">
        <f>"000097"</f>
        <v>000097</v>
      </c>
      <c r="I29" s="6">
        <v>43534</v>
      </c>
      <c r="J29" s="7" t="str">
        <f>"000050"</f>
        <v>000050</v>
      </c>
      <c r="K29" s="6">
        <v>43699</v>
      </c>
      <c r="L29" s="7" t="str">
        <f>"000052"</f>
        <v>000052</v>
      </c>
      <c r="M29" s="6">
        <v>43699</v>
      </c>
      <c r="N29" s="7">
        <v>18</v>
      </c>
      <c r="O29" s="7" t="str">
        <f>"005070"</f>
        <v>005070</v>
      </c>
      <c r="P29" s="6">
        <v>43720</v>
      </c>
      <c r="Q29" s="11">
        <v>28.501799999999999</v>
      </c>
      <c r="R29" s="11">
        <v>3.3452500000000001</v>
      </c>
      <c r="S29" s="11">
        <v>25.156549999999999</v>
      </c>
      <c r="T29" s="7">
        <v>185</v>
      </c>
      <c r="U29" s="6">
        <v>43721</v>
      </c>
      <c r="V29" s="7">
        <v>9845388800</v>
      </c>
      <c r="W29" s="10" t="s">
        <v>84</v>
      </c>
      <c r="X29" s="7" t="s">
        <v>108</v>
      </c>
      <c r="Y29" s="10" t="s">
        <v>109</v>
      </c>
      <c r="Z29" s="7" t="s">
        <v>110</v>
      </c>
      <c r="AA29" s="10" t="s">
        <v>111</v>
      </c>
      <c r="AB29" s="11">
        <f t="shared" si="1"/>
        <v>0.28501799999999999</v>
      </c>
    </row>
    <row r="30" spans="1:28" x14ac:dyDescent="0.35">
      <c r="A30" s="4">
        <v>5672</v>
      </c>
      <c r="B30" s="5" t="s">
        <v>117</v>
      </c>
      <c r="C30" s="6">
        <v>43721</v>
      </c>
      <c r="D30" s="7">
        <v>182</v>
      </c>
      <c r="E30" s="8" t="s">
        <v>46</v>
      </c>
      <c r="F30" s="7" t="s">
        <v>124</v>
      </c>
      <c r="G30" s="10" t="s">
        <v>125</v>
      </c>
      <c r="H30" s="7" t="str">
        <f>"000215"</f>
        <v>000215</v>
      </c>
      <c r="I30" s="6">
        <v>43529</v>
      </c>
      <c r="J30" s="7" t="str">
        <f>"000069"</f>
        <v>000069</v>
      </c>
      <c r="K30" s="6">
        <v>43706</v>
      </c>
      <c r="L30" s="7" t="str">
        <f>"000137"</f>
        <v>000137</v>
      </c>
      <c r="M30" s="6">
        <v>43706</v>
      </c>
      <c r="N30" s="7">
        <v>19</v>
      </c>
      <c r="O30" s="7" t="str">
        <f>"005123"</f>
        <v>005123</v>
      </c>
      <c r="P30" s="6">
        <v>43721</v>
      </c>
      <c r="Q30" s="11">
        <v>48.706000000000003</v>
      </c>
      <c r="R30" s="11">
        <v>5.5831999999999997</v>
      </c>
      <c r="S30" s="11">
        <v>43.122799999999998</v>
      </c>
      <c r="T30" s="7">
        <v>187</v>
      </c>
      <c r="U30" s="6">
        <v>43721</v>
      </c>
      <c r="V30" s="7">
        <v>9986697126</v>
      </c>
      <c r="W30" s="10" t="s">
        <v>126</v>
      </c>
      <c r="X30" s="7" t="s">
        <v>127</v>
      </c>
      <c r="Y30" s="10" t="s">
        <v>128</v>
      </c>
      <c r="Z30" s="7" t="s">
        <v>43</v>
      </c>
      <c r="AA30" s="10" t="s">
        <v>44</v>
      </c>
      <c r="AB30" s="11">
        <f t="shared" si="1"/>
        <v>0.48706000000000005</v>
      </c>
    </row>
    <row r="31" spans="1:28" x14ac:dyDescent="0.35">
      <c r="A31" s="4">
        <v>5673</v>
      </c>
      <c r="B31" s="5" t="s">
        <v>129</v>
      </c>
      <c r="C31" s="6">
        <v>43749</v>
      </c>
      <c r="D31" s="4">
        <v>182</v>
      </c>
      <c r="E31" s="8" t="s">
        <v>46</v>
      </c>
      <c r="F31" s="7" t="s">
        <v>130</v>
      </c>
      <c r="G31" s="8" t="s">
        <v>131</v>
      </c>
      <c r="H31" s="7" t="str">
        <f>"000052"</f>
        <v>000052</v>
      </c>
      <c r="I31" s="6">
        <v>42784</v>
      </c>
      <c r="J31" s="7" t="str">
        <f>"000026"</f>
        <v>000026</v>
      </c>
      <c r="K31" s="6">
        <v>43283</v>
      </c>
      <c r="L31" s="7" t="str">
        <f>"000057"</f>
        <v>000057</v>
      </c>
      <c r="M31" s="6">
        <v>43301</v>
      </c>
      <c r="N31" s="7">
        <v>17</v>
      </c>
      <c r="O31" s="7" t="str">
        <f>""</f>
        <v/>
      </c>
      <c r="P31" s="6"/>
      <c r="Q31" s="9">
        <v>110.358</v>
      </c>
      <c r="R31" s="9">
        <v>5.4924999999999997</v>
      </c>
      <c r="S31" s="9">
        <v>104.8655</v>
      </c>
      <c r="T31" s="7">
        <v>13</v>
      </c>
      <c r="U31" s="6">
        <v>43749</v>
      </c>
      <c r="V31" s="7">
        <v>9742767709</v>
      </c>
      <c r="W31" s="8" t="s">
        <v>132</v>
      </c>
      <c r="X31" s="7" t="s">
        <v>41</v>
      </c>
      <c r="Y31" s="8" t="s">
        <v>42</v>
      </c>
      <c r="Z31" s="7" t="s">
        <v>43</v>
      </c>
      <c r="AA31" s="8" t="s">
        <v>44</v>
      </c>
      <c r="AB31" s="9">
        <v>1.10358</v>
      </c>
    </row>
    <row r="32" spans="1:28" x14ac:dyDescent="0.35">
      <c r="A32" s="4">
        <v>5674</v>
      </c>
      <c r="B32" s="5" t="s">
        <v>129</v>
      </c>
      <c r="C32" s="6">
        <v>43761</v>
      </c>
      <c r="D32" s="4">
        <v>182</v>
      </c>
      <c r="E32" s="8" t="s">
        <v>46</v>
      </c>
      <c r="F32" s="7" t="s">
        <v>133</v>
      </c>
      <c r="G32" s="8" t="s">
        <v>134</v>
      </c>
      <c r="H32" s="7" t="str">
        <f>"000021"</f>
        <v>000021</v>
      </c>
      <c r="I32" s="6">
        <v>42872</v>
      </c>
      <c r="J32" s="7" t="str">
        <f>"000060"</f>
        <v>000060</v>
      </c>
      <c r="K32" s="6">
        <v>43694</v>
      </c>
      <c r="L32" s="7" t="str">
        <f>"000125"</f>
        <v>000125</v>
      </c>
      <c r="M32" s="6">
        <v>43696</v>
      </c>
      <c r="N32" s="7">
        <v>17</v>
      </c>
      <c r="O32" s="7" t="str">
        <f>"005835"</f>
        <v>005835</v>
      </c>
      <c r="P32" s="6">
        <v>43755</v>
      </c>
      <c r="Q32" s="9">
        <v>11.989000000000001</v>
      </c>
      <c r="R32" s="9">
        <v>1.0682</v>
      </c>
      <c r="S32" s="9">
        <v>10.9208</v>
      </c>
      <c r="T32" s="7">
        <v>13</v>
      </c>
      <c r="U32" s="6">
        <v>43761</v>
      </c>
      <c r="V32" s="7">
        <v>9964218400</v>
      </c>
      <c r="W32" s="8" t="s">
        <v>135</v>
      </c>
      <c r="X32" s="7" t="s">
        <v>136</v>
      </c>
      <c r="Y32" s="8" t="s">
        <v>137</v>
      </c>
      <c r="Z32" s="7" t="s">
        <v>43</v>
      </c>
      <c r="AA32" s="8" t="s">
        <v>44</v>
      </c>
      <c r="AB32" s="9">
        <v>0.11989000000000001</v>
      </c>
    </row>
    <row r="33" spans="1:28" x14ac:dyDescent="0.35">
      <c r="A33" s="4">
        <v>5675</v>
      </c>
      <c r="B33" s="5" t="s">
        <v>138</v>
      </c>
      <c r="C33" s="6">
        <v>43795</v>
      </c>
      <c r="D33" s="4">
        <v>182</v>
      </c>
      <c r="E33" s="8" t="s">
        <v>46</v>
      </c>
      <c r="F33" s="7" t="s">
        <v>50</v>
      </c>
      <c r="G33" s="8" t="s">
        <v>51</v>
      </c>
      <c r="H33" s="7" t="str">
        <f>"000005"</f>
        <v>000005</v>
      </c>
      <c r="I33" s="6">
        <v>42930</v>
      </c>
      <c r="J33" s="7" t="str">
        <f>"000194"</f>
        <v>000194</v>
      </c>
      <c r="K33" s="6">
        <v>43773</v>
      </c>
      <c r="L33" s="7" t="str">
        <f>"000192"</f>
        <v>000192</v>
      </c>
      <c r="M33" s="6">
        <v>43773</v>
      </c>
      <c r="N33" s="7">
        <v>16</v>
      </c>
      <c r="O33" s="7" t="str">
        <f>"006340"</f>
        <v>006340</v>
      </c>
      <c r="P33" s="6">
        <v>43791</v>
      </c>
      <c r="Q33" s="9">
        <v>3.0388500000000001</v>
      </c>
      <c r="R33" s="9">
        <v>0.24124999999999999</v>
      </c>
      <c r="S33" s="9">
        <v>2.7976000000000001</v>
      </c>
      <c r="T33" s="7">
        <v>13</v>
      </c>
      <c r="U33" s="6">
        <v>43795</v>
      </c>
      <c r="V33" s="7">
        <v>0</v>
      </c>
      <c r="W33" s="8" t="s">
        <v>52</v>
      </c>
      <c r="X33" s="7" t="s">
        <v>36</v>
      </c>
      <c r="Y33" s="8" t="s">
        <v>35</v>
      </c>
      <c r="Z33" s="7" t="s">
        <v>39</v>
      </c>
      <c r="AA33" s="8" t="s">
        <v>40</v>
      </c>
      <c r="AB33" s="9">
        <v>3.0388499999999999E-2</v>
      </c>
    </row>
    <row r="34" spans="1:28" x14ac:dyDescent="0.35">
      <c r="A34" s="4">
        <v>5676</v>
      </c>
      <c r="B34" s="5" t="s">
        <v>138</v>
      </c>
      <c r="C34" s="6">
        <v>43796</v>
      </c>
      <c r="D34" s="4">
        <v>182</v>
      </c>
      <c r="E34" s="8" t="s">
        <v>46</v>
      </c>
      <c r="F34" s="7" t="s">
        <v>139</v>
      </c>
      <c r="G34" s="8" t="s">
        <v>140</v>
      </c>
      <c r="H34" s="7" t="str">
        <f>"000116"</f>
        <v>000116</v>
      </c>
      <c r="I34" s="6">
        <v>43174</v>
      </c>
      <c r="J34" s="7" t="str">
        <f>"000014"</f>
        <v>000014</v>
      </c>
      <c r="K34" s="6">
        <v>43242</v>
      </c>
      <c r="L34" s="7" t="str">
        <f>"000013"</f>
        <v>000013</v>
      </c>
      <c r="M34" s="6">
        <v>43243</v>
      </c>
      <c r="N34" s="7">
        <v>18</v>
      </c>
      <c r="O34" s="7" t="str">
        <f>"006409"</f>
        <v>006409</v>
      </c>
      <c r="P34" s="6">
        <v>43795</v>
      </c>
      <c r="Q34" s="9">
        <v>42.965499999999999</v>
      </c>
      <c r="R34" s="9">
        <v>5.0942499999999997</v>
      </c>
      <c r="S34" s="9">
        <v>37.871250000000003</v>
      </c>
      <c r="T34" s="7">
        <v>13</v>
      </c>
      <c r="U34" s="6">
        <v>43796</v>
      </c>
      <c r="V34" s="7">
        <v>9986437766</v>
      </c>
      <c r="W34" s="8" t="s">
        <v>141</v>
      </c>
      <c r="X34" s="7" t="s">
        <v>41</v>
      </c>
      <c r="Y34" s="8" t="s">
        <v>42</v>
      </c>
      <c r="Z34" s="7" t="s">
        <v>43</v>
      </c>
      <c r="AA34" s="8" t="s">
        <v>44</v>
      </c>
      <c r="AB34" s="9">
        <v>0.42965500000000001</v>
      </c>
    </row>
    <row r="35" spans="1:28" x14ac:dyDescent="0.35">
      <c r="A35" s="4">
        <v>5677</v>
      </c>
      <c r="B35" s="5" t="s">
        <v>142</v>
      </c>
      <c r="C35" s="6">
        <v>43805</v>
      </c>
      <c r="D35" s="4">
        <v>182</v>
      </c>
      <c r="E35" s="8" t="s">
        <v>46</v>
      </c>
      <c r="F35" s="7" t="s">
        <v>143</v>
      </c>
      <c r="G35" s="8" t="s">
        <v>144</v>
      </c>
      <c r="H35" s="7" t="str">
        <f>"000080"</f>
        <v>000080</v>
      </c>
      <c r="I35" s="6">
        <v>43110</v>
      </c>
      <c r="J35" s="7" t="str">
        <f>"000016"</f>
        <v>000016</v>
      </c>
      <c r="K35" s="6">
        <v>43242</v>
      </c>
      <c r="L35" s="7" t="str">
        <f>"000020"</f>
        <v>000020</v>
      </c>
      <c r="M35" s="6">
        <v>43249</v>
      </c>
      <c r="N35" s="7">
        <v>17</v>
      </c>
      <c r="O35" s="7" t="str">
        <f>"006514"</f>
        <v>006514</v>
      </c>
      <c r="P35" s="6">
        <v>43802</v>
      </c>
      <c r="Q35" s="9">
        <v>6.6887999999999996</v>
      </c>
      <c r="R35" s="9">
        <v>0.9627</v>
      </c>
      <c r="S35" s="9">
        <v>5.7260999999999997</v>
      </c>
      <c r="T35" s="7">
        <v>13</v>
      </c>
      <c r="U35" s="6">
        <v>43805</v>
      </c>
      <c r="V35" s="7">
        <v>9986697126</v>
      </c>
      <c r="W35" s="8" t="s">
        <v>49</v>
      </c>
      <c r="X35" s="7" t="s">
        <v>30</v>
      </c>
      <c r="Y35" s="8" t="s">
        <v>31</v>
      </c>
      <c r="Z35" s="7" t="s">
        <v>43</v>
      </c>
      <c r="AA35" s="8" t="s">
        <v>44</v>
      </c>
      <c r="AB35" s="9">
        <v>6.6888000000000003E-2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2020-01-30T07:05:19Z</dcterms:modified>
</cp:coreProperties>
</file>