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5" i="1" l="1"/>
  <c r="L55" i="1"/>
  <c r="J55" i="1"/>
  <c r="H55" i="1"/>
  <c r="O54" i="1"/>
  <c r="L54" i="1"/>
  <c r="J54" i="1"/>
  <c r="H54" i="1"/>
  <c r="O53" i="1"/>
  <c r="L53" i="1"/>
  <c r="J53" i="1"/>
  <c r="H53" i="1"/>
  <c r="O52" i="1"/>
  <c r="L52" i="1"/>
  <c r="J52" i="1"/>
  <c r="H52" i="1"/>
  <c r="O51" i="1"/>
  <c r="L51" i="1"/>
  <c r="J51" i="1"/>
  <c r="H51" i="1"/>
  <c r="O50" i="1"/>
  <c r="L50" i="1"/>
  <c r="J50" i="1"/>
  <c r="H50" i="1"/>
  <c r="O49" i="1"/>
  <c r="L49" i="1"/>
  <c r="J49" i="1"/>
  <c r="H49" i="1"/>
  <c r="O48" i="1"/>
  <c r="L48" i="1"/>
  <c r="J48" i="1"/>
  <c r="H48" i="1"/>
  <c r="O47" i="1"/>
  <c r="L47" i="1"/>
  <c r="J47" i="1"/>
  <c r="H47" i="1"/>
  <c r="O46" i="1"/>
  <c r="L46" i="1"/>
  <c r="J46" i="1"/>
  <c r="H46" i="1"/>
  <c r="O45" i="1"/>
  <c r="L45" i="1"/>
  <c r="J45" i="1"/>
  <c r="H45" i="1"/>
  <c r="O44" i="1"/>
  <c r="L44" i="1"/>
  <c r="J44" i="1"/>
  <c r="H44" i="1"/>
  <c r="O43" i="1"/>
  <c r="L43" i="1"/>
  <c r="J43" i="1"/>
  <c r="H43"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O17" i="1"/>
  <c r="L17" i="1"/>
  <c r="J17" i="1"/>
  <c r="H17"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<sst xmlns="http://schemas.openxmlformats.org/spreadsheetml/2006/main" count="514" uniqueCount="182">
  <si>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</si>
  <si>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</si>
  <si>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</si>
  <si>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</si>
  <si>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</si>
  <si>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</si>
  <si>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</si>
  <si>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</si>
  <si>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</si>
  <si>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</si>
  <si>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</si>
  <si>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</si>
  <si>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</si>
  <si>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</si>
  <si>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</si>
  <si>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</si>
  <si>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</si>
  <si>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</si>
  <si>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</si>
  <si>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</si>
  <si>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</si>
  <si>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</si>
  <si>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</si>
  <si>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</si>
  <si>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</si>
  <si>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</si>
  <si>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</si>
  <si>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</si>
  <si>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</si>
  <si>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</si>
  <si>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</si>
  <si>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</si>
  <si>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</si>
  <si>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</si>
  <si>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</si>
  <si>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P1878</t>
  </si>
  <si>
    <t>18per - Works (Bhagyajyothi, Sooru / Neeru Yojane and General) (54 Lakhs / New Wards)</t>
  </si>
  <si>
    <t>M/s KRIDL</t>
  </si>
  <si>
    <t>P3122</t>
  </si>
  <si>
    <t>AMRUT Project Horticulture</t>
  </si>
  <si>
    <t>ddo611</t>
  </si>
  <si>
    <t xml:space="preserve"> Executive Engineer 1 - Projects 2 Central Zone</t>
  </si>
  <si>
    <t>ddo439</t>
  </si>
  <si>
    <t xml:space="preserve"> Executive Engineer Electrical Division Bomanahalli Zone</t>
  </si>
  <si>
    <t>Uttarahalli</t>
  </si>
  <si>
    <t>184-19-000319</t>
  </si>
  <si>
    <t>Restoration of Road cut portion done by BWSSB for water supply pipeline in ward no 184 in AGS layaout and surrounding area in Bengaluru South Division roads under BBMP Limits Phase-1</t>
  </si>
  <si>
    <t>M Ramesh</t>
  </si>
  <si>
    <t>P0613</t>
  </si>
  <si>
    <t>Redoing of Road cut Portions (Deposit Contributions)</t>
  </si>
  <si>
    <t>ddo445</t>
  </si>
  <si>
    <t xml:space="preserve"> Assistant Executive Engineer Uttharahalli  sub Division Bomanahalli Zone</t>
  </si>
  <si>
    <t>184-19-000320</t>
  </si>
  <si>
    <t>Restoration of Road cut portion done by BWSSB for water supply pipeline in ward no 184 in Gopala Krishna layout and its surrounding area in Bengaluru South Division roads under BBMP Limits Phase-2</t>
  </si>
  <si>
    <t>184-19-000321</t>
  </si>
  <si>
    <t>Restoration of Road cut portion done by BWSSB for water supply pipeline in ward no 184 in Sai nagar and its surrounding area in Bengaluru South Division roads under BBMP Limits Phase-3</t>
  </si>
  <si>
    <t>184-17-000085</t>
  </si>
  <si>
    <t>Development of green space and parks to Poornapragna layout park Uttarahalli ward no 184 ( Bommanahalli zone)</t>
  </si>
  <si>
    <t>K.N. Mahesh</t>
  </si>
  <si>
    <t>184-17-000019</t>
  </si>
  <si>
    <t>Annual maintainance of water supply system in ward no 184 uttarahalli</t>
  </si>
  <si>
    <t>Sri Bharani borewell</t>
  </si>
  <si>
    <t>184-18-000106</t>
  </si>
  <si>
    <t>IMPROVEMENTS TO ROAD AND UGD LINES AT YADHALAM NAGAR IN WARD NO 184 UTTARAHALLI</t>
  </si>
  <si>
    <t>184-18-000107</t>
  </si>
  <si>
    <t>IMPROVEMENTS TO ROAD AND UGD LINES AT TURAHALLI IN WARD NO 184 UTTARAHALLI</t>
  </si>
  <si>
    <t>184-18-000108</t>
  </si>
  <si>
    <t>IMPROVEMENTS TO ROAD DRAINS AND UGD LINES AT MARUTHI LAYOUT IN WARD NO 184 UTTARAHALLI</t>
  </si>
  <si>
    <t>184-16-000001</t>
  </si>
  <si>
    <t>Annual Operation and Maintenance of street lighting system in ward no-184 Package B3 of Bommanahalli zone.</t>
  </si>
  <si>
    <t>M/s. Ramya Electricals</t>
  </si>
  <si>
    <t>184-17-000017</t>
  </si>
  <si>
    <t>Emergency Works ( Maintanance ) in Ward 184 Uttarahalli</t>
  </si>
  <si>
    <t>G Gopala</t>
  </si>
  <si>
    <t>184-19-000021</t>
  </si>
  <si>
    <t>Improvements of  Main and Cross Roads  at  Turahalli in Ward 184 Uttarahalli</t>
  </si>
  <si>
    <t>July</t>
  </si>
  <si>
    <t>184-19-000023</t>
  </si>
  <si>
    <t>Improvements of Roads at Marasandra Layout (Yadhalam Nagar) in Ward 184 Uttarahalli</t>
  </si>
  <si>
    <t xml:space="preserve"> Assistant Executive Engineer Uttharahalli sub Division Bomanahalli Zone</t>
  </si>
  <si>
    <t>184-20-000002</t>
  </si>
  <si>
    <t>Restoration of road cut portion done by BWSSB for water supply pipe line in ward no 184 in Raja Garden, Turahalli and surrounding areas in Bengaluru South Division roads under BBMP limits Phase-4</t>
  </si>
  <si>
    <t>184-19-000028</t>
  </si>
  <si>
    <t>Improvements of Roads at Yadhalam Nagar in Ward 184 Uttarahalli</t>
  </si>
  <si>
    <t>184-19-000025</t>
  </si>
  <si>
    <t>Improvements of Main and Cross Roads at G T Layout in Ward 184 Uttarahalli</t>
  </si>
  <si>
    <t>184-19-000022</t>
  </si>
  <si>
    <t>Improvements of Main and cross Roads at Srinivasa Colony in Ward 184 Uttarahalli</t>
  </si>
  <si>
    <t>184-18-000028</t>
  </si>
  <si>
    <t>Drilling of 165 mm Dia New Bore Well and Providing Electriction and Distrubution of Pipe Line in Ward No 184 Uttarahalli</t>
  </si>
  <si>
    <t>M/s Sri Bharani Borewells, Sri Prathap Singh</t>
  </si>
  <si>
    <t>P0190</t>
  </si>
  <si>
    <t>Works sanctioned by Hon Mayor</t>
  </si>
  <si>
    <t>184-18-000068</t>
  </si>
  <si>
    <t>Sri Bharani Borewells</t>
  </si>
  <si>
    <t>184-17-000024</t>
  </si>
  <si>
    <t>Improvements of Drain, culverts of Srinivasa Colony in ward no 184 uttarahalli</t>
  </si>
  <si>
    <t>Prakash</t>
  </si>
  <si>
    <t>184-17-000029</t>
  </si>
  <si>
    <t>Improvements to Drains and Roads of 2nd Cross ( Swarna Gowri Book Stall ) road to SWD Junction at Subramanyapura main road in ward no 184 uttarahalli</t>
  </si>
  <si>
    <t>184-19-000024</t>
  </si>
  <si>
    <t>Improvements of Roads at Yadhalam Nagar to Krishnappa Layout in Ward 184 Uttarahalli</t>
  </si>
  <si>
    <t>184-17-000093</t>
  </si>
  <si>
    <t>Improvements of Roads and Drains at Gubbalala mian road to Royal Farms in ward no 184 Uttarahalli</t>
  </si>
  <si>
    <t>P2415</t>
  </si>
  <si>
    <t>Reserve fund for TandF Committee</t>
  </si>
  <si>
    <t>August</t>
  </si>
  <si>
    <t>184-18-000002</t>
  </si>
  <si>
    <t>Drilling 165MM dia new borewell and providing electrification and Distribution of pipeline at Veeranjaneya Nagara in ward no 184 Uttarahalli.</t>
  </si>
  <si>
    <t>Sri Ajay kumar A</t>
  </si>
  <si>
    <t>184-17-000092</t>
  </si>
  <si>
    <t>Improvements of Roads and Drains at Arehalli to Nanda kumar layout in ward no 184 Uttarahalli</t>
  </si>
  <si>
    <t>184-17-000034</t>
  </si>
  <si>
    <t>Providing drinking water through water tankers in ward no 184 uttarahalli</t>
  </si>
  <si>
    <t>P1802</t>
  </si>
  <si>
    <t>Water Supply New Areas</t>
  </si>
  <si>
    <t>September</t>
  </si>
  <si>
    <t>184-19-000026</t>
  </si>
  <si>
    <t>Improvements of Roads at Vaddarapalya and Kodipalya in Ward 184 Uttarahalli</t>
  </si>
  <si>
    <t>184-19-000029</t>
  </si>
  <si>
    <t>Improvements of Roads at Maruthi Nagar in Ward 184 Uttarahalli</t>
  </si>
  <si>
    <t>184-20-000001</t>
  </si>
  <si>
    <t>Restoration of road cut portion done by BWSSB for water supply pipe line in ward no 184 in Gubbalala,karishma hills, Balaji layout and surrounding areas in Bengaluru South Division roads under BBMP limits Phase-5</t>
  </si>
  <si>
    <t>184-18-000007</t>
  </si>
  <si>
    <t>Improvements roads and drains at Poorna pragna layout in ward no.184 Uttarahalli</t>
  </si>
  <si>
    <t>184-18-000010</t>
  </si>
  <si>
    <t>Improvements to drains and Asphalting the roads and at Jayanagara Housing Co-operative Society in ward no.184 Uttarahalli</t>
  </si>
  <si>
    <t>184-18-000009</t>
  </si>
  <si>
    <t>Improvements and Asphalting the main roads and cross roads at Bharat Housing Co-operative Society in ward no.184 Uttarahalli</t>
  </si>
  <si>
    <t>184-18-000004</t>
  </si>
  <si>
    <t>Improvements and Asphalting the roads and drains at Bharat Housing Co-operative Society Phase-1 near Rajagardenia in ward no.184 Uttarahalli</t>
  </si>
  <si>
    <t>184-18-000013</t>
  </si>
  <si>
    <t>Asphalting and Improvements roads and drains at JHCS layout in ward no.184 Uttarahalli</t>
  </si>
  <si>
    <t>184-17-000081</t>
  </si>
  <si>
    <t>Improvements to Magekere lake in ward 184 Uttarahalli</t>
  </si>
  <si>
    <t>Shivanna</t>
  </si>
  <si>
    <t>P2178</t>
  </si>
  <si>
    <t>Works sanctioned by Dy. Mayor</t>
  </si>
  <si>
    <t>ddo615</t>
  </si>
  <si>
    <t xml:space="preserve"> Executive Engineer 5 - Projects 2 Central Zone</t>
  </si>
  <si>
    <t>October</t>
  </si>
  <si>
    <t>184-17-000094</t>
  </si>
  <si>
    <t>Construction of Anganawadi at Ramachandrapura in ward no 184 Uttarahalli</t>
  </si>
  <si>
    <t>Sri R Prasanna</t>
  </si>
  <si>
    <t>184-17-000095</t>
  </si>
  <si>
    <t>Construction of Anganawadi at Bhuvaneshwari Nagar in ward no 184 Uttarahalli</t>
  </si>
  <si>
    <t>Sri Prasanna</t>
  </si>
  <si>
    <t>184-18-000014</t>
  </si>
  <si>
    <t>Sinking of 165 MM dia New Borewell and providing electrification and distribution of pipeline in ward no 184 Uttarahalli</t>
  </si>
  <si>
    <t>184-18-000033</t>
  </si>
  <si>
    <t>Drilling of new Borewell and Providing pipe line in ward no 184 Uttarahalli</t>
  </si>
  <si>
    <t>184-17-000116</t>
  </si>
  <si>
    <t>Improvements of roads at Uttarahalli in ward no 184 Uttarahalli</t>
  </si>
  <si>
    <t>P3075</t>
  </si>
  <si>
    <t>Special comprehensive development works in Bangalore city (Bangalore city in charge Minister Discretionary Grants)</t>
  </si>
  <si>
    <t>November</t>
  </si>
  <si>
    <t>184-19-000006</t>
  </si>
  <si>
    <t>Improvements of main road cross roads and drains from Arehalli Srinivasa colony through Gaviyappa Thimmaiah layout to NIce road Underpass in ward no 184 Uttarahalli</t>
  </si>
  <si>
    <t>184-19-000007</t>
  </si>
  <si>
    <t xml:space="preserve">Asphalting to roads from Uttarahalli- Kengeri main road Sri Patalamma temple through BHCS layout Gubblala road to Sri Saneswara temple main road in Uttarahalli in ward no 184 </t>
  </si>
  <si>
    <t>184-18-000048</t>
  </si>
  <si>
    <t>Improvements to roads and drains at cross roads at Lakshmaiah layout in ward no 184 Uttarahalli</t>
  </si>
  <si>
    <t>Sri Yogananda</t>
  </si>
  <si>
    <t>P3318</t>
  </si>
  <si>
    <t>Special Development works at ward No. 184,141,127 Each Rs.2.00 Cr</t>
  </si>
  <si>
    <t>184-18-000035</t>
  </si>
  <si>
    <t>Construction of Culverts and Improvements to drains at Sahara Layout in ward no 184 Uttarahalli</t>
  </si>
  <si>
    <t>Sri D Y Naveen</t>
  </si>
  <si>
    <t>December</t>
  </si>
  <si>
    <t>184-19-000337</t>
  </si>
  <si>
    <t>Comprehensive Development of play ground, Hospital of Bangalore south division (3 Works) Development of play ground at Uttarahalli in ward no 184</t>
  </si>
  <si>
    <t>Sri K Ramachandra Raju</t>
  </si>
  <si>
    <t>P3106</t>
  </si>
  <si>
    <t>Nagarothana Works</t>
  </si>
  <si>
    <t>184-18-000020</t>
  </si>
  <si>
    <t>Improvements of UGD Lines at Gubbalala in Ward 184, Uttarahalli</t>
  </si>
  <si>
    <t>184-18-000021</t>
  </si>
  <si>
    <t>Improvements to Drains and Roads at 1st Main Uttarahalli, in Ward No 184, Uttarahalli.</t>
  </si>
  <si>
    <t>184-18-000022</t>
  </si>
  <si>
    <t>Improvements to Drains and Roads at Uttarahalli Surrounding, in Ward No 184, Uttarahalli.</t>
  </si>
  <si>
    <t>184-18-000023</t>
  </si>
  <si>
    <t>Improvements to Drains, UGD and Roads at 2nd Main Uttarahalli, in Ward No 184, Uttarahalli.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</si>
</sst>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5"/>
  <sheetViews>
    <sheetView tabSelected="1" workbookViewId="0">
      <selection activeCell="A2" sqref="A2:XFD55"/>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5697</v>
      </c>
      <c r="B2" s="5" t="s">
        <v>28</v>
      </c>
      <c r="C2" s="6">
        <v>43559</v>
      </c>
      <c r="D2" s="7">
        <v>184</v>
      </c>
      <c r="E2" s="8" t="s">
        <v>44</v>
      </c>
      <c r="F2" s="7" t="s">
        <v>45</v>
      </c>
      <c r="G2" s="8" t="s">
        <v>46</v>
      </c>
      <c r="H2" s="7" t="str">
        <f>"000228"</f>
        <v>000228</v>
      </c>
      <c r="I2" s="6">
        <v>43531</v>
      </c>
      <c r="J2" s="7" t="str">
        <f>"000170"</f>
        <v>000170</v>
      </c>
      <c r="K2" s="6">
        <v>43550</v>
      </c>
      <c r="L2" s="7" t="str">
        <f>"000436"</f>
        <v>000436</v>
      </c>
      <c r="M2" s="6">
        <v>43551</v>
      </c>
      <c r="N2" s="7">
        <v>19</v>
      </c>
      <c r="O2" s="7" t="str">
        <f>"000011"</f>
        <v>000011</v>
      </c>
      <c r="P2" s="6">
        <v>43558</v>
      </c>
      <c r="Q2" s="9">
        <v>97.853899999999996</v>
      </c>
      <c r="R2" s="9">
        <v>4.3007</v>
      </c>
      <c r="S2" s="9">
        <v>93.553200000000004</v>
      </c>
      <c r="T2" s="7">
        <v>1</v>
      </c>
      <c r="U2" s="6">
        <v>43559</v>
      </c>
      <c r="V2" s="7">
        <v>9845057449</v>
      </c>
      <c r="W2" s="8" t="s">
        <v>47</v>
      </c>
      <c r="X2" s="7" t="s">
        <v>48</v>
      </c>
      <c r="Y2" s="8" t="s">
        <v>49</v>
      </c>
      <c r="Z2" s="7" t="s">
        <v>50</v>
      </c>
      <c r="AA2" s="8" t="s">
        <v>51</v>
      </c>
      <c r="AB2" s="9">
        <f t="shared" ref="AB2:AB15" si="0">Q2/100</f>
        <v>0.97853899999999994</v>
      </c>
    </row>
    <row r="3" spans="1:28" x14ac:dyDescent="0.35">
      <c r="A3" s="4">
        <v>5698</v>
      </c>
      <c r="B3" s="5" t="s">
        <v>28</v>
      </c>
      <c r="C3" s="6">
        <v>43559</v>
      </c>
      <c r="D3" s="7">
        <v>184</v>
      </c>
      <c r="E3" s="8" t="s">
        <v>44</v>
      </c>
      <c r="F3" s="7" t="s">
        <v>52</v>
      </c>
      <c r="G3" s="8" t="s">
        <v>53</v>
      </c>
      <c r="H3" s="7" t="str">
        <f>"000229"</f>
        <v>000229</v>
      </c>
      <c r="I3" s="6">
        <v>43531</v>
      </c>
      <c r="J3" s="7" t="str">
        <f>"000009"</f>
        <v>000009</v>
      </c>
      <c r="K3" s="6">
        <v>43581</v>
      </c>
      <c r="L3" s="7" t="str">
        <f>"000015"</f>
        <v>000015</v>
      </c>
      <c r="M3" s="6">
        <v>43582</v>
      </c>
      <c r="N3" s="7">
        <v>19</v>
      </c>
      <c r="O3" s="7" t="str">
        <f>"001227"</f>
        <v>001227</v>
      </c>
      <c r="P3" s="6">
        <v>43584</v>
      </c>
      <c r="Q3" s="9">
        <v>88.498990000000006</v>
      </c>
      <c r="R3" s="9">
        <v>3.83284</v>
      </c>
      <c r="S3" s="9">
        <v>84.666150000000002</v>
      </c>
      <c r="T3" s="7">
        <v>1</v>
      </c>
      <c r="U3" s="6">
        <v>43559</v>
      </c>
      <c r="V3" s="7">
        <v>9845057449</v>
      </c>
      <c r="W3" s="8" t="s">
        <v>47</v>
      </c>
      <c r="X3" s="7" t="s">
        <v>48</v>
      </c>
      <c r="Y3" s="8" t="s">
        <v>49</v>
      </c>
      <c r="Z3" s="7" t="s">
        <v>50</v>
      </c>
      <c r="AA3" s="8" t="s">
        <v>51</v>
      </c>
      <c r="AB3" s="9">
        <f t="shared" si="0"/>
        <v>0.88498990000000011</v>
      </c>
    </row>
    <row r="4" spans="1:28" x14ac:dyDescent="0.35">
      <c r="A4" s="4">
        <v>5699</v>
      </c>
      <c r="B4" s="5" t="s">
        <v>28</v>
      </c>
      <c r="C4" s="6">
        <v>43559</v>
      </c>
      <c r="D4" s="7">
        <v>184</v>
      </c>
      <c r="E4" s="8" t="s">
        <v>44</v>
      </c>
      <c r="F4" s="7" t="s">
        <v>54</v>
      </c>
      <c r="G4" s="8" t="s">
        <v>55</v>
      </c>
      <c r="H4" s="7" t="str">
        <f>"000230"</f>
        <v>000230</v>
      </c>
      <c r="I4" s="6">
        <v>43531</v>
      </c>
      <c r="J4" s="7" t="str">
        <f>"000007"</f>
        <v>000007</v>
      </c>
      <c r="K4" s="6">
        <v>43581</v>
      </c>
      <c r="L4" s="7" t="str">
        <f>"000014"</f>
        <v>000014</v>
      </c>
      <c r="M4" s="6">
        <v>43582</v>
      </c>
      <c r="N4" s="7">
        <v>19</v>
      </c>
      <c r="O4" s="7" t="str">
        <f>"001226"</f>
        <v>001226</v>
      </c>
      <c r="P4" s="6">
        <v>43584</v>
      </c>
      <c r="Q4" s="9">
        <v>37.573999999999998</v>
      </c>
      <c r="R4" s="9">
        <v>1.6979599999999999</v>
      </c>
      <c r="S4" s="9">
        <v>35.876040000000003</v>
      </c>
      <c r="T4" s="7">
        <v>1</v>
      </c>
      <c r="U4" s="6">
        <v>43559</v>
      </c>
      <c r="V4" s="7">
        <v>9845057449</v>
      </c>
      <c r="W4" s="8" t="s">
        <v>47</v>
      </c>
      <c r="X4" s="7" t="s">
        <v>48</v>
      </c>
      <c r="Y4" s="8" t="s">
        <v>49</v>
      </c>
      <c r="Z4" s="7" t="s">
        <v>50</v>
      </c>
      <c r="AA4" s="8" t="s">
        <v>51</v>
      </c>
      <c r="AB4" s="9">
        <f t="shared" si="0"/>
        <v>0.37573999999999996</v>
      </c>
    </row>
    <row r="5" spans="1:28" x14ac:dyDescent="0.35">
      <c r="A5" s="4">
        <v>5700</v>
      </c>
      <c r="B5" s="5" t="s">
        <v>28</v>
      </c>
      <c r="C5" s="6">
        <v>43563</v>
      </c>
      <c r="D5" s="7">
        <v>184</v>
      </c>
      <c r="E5" s="8" t="s">
        <v>44</v>
      </c>
      <c r="F5" s="7" t="s">
        <v>56</v>
      </c>
      <c r="G5" s="8" t="s">
        <v>57</v>
      </c>
      <c r="H5" s="7" t="str">
        <f>"000059"</f>
        <v>000059</v>
      </c>
      <c r="I5" s="6">
        <v>43539</v>
      </c>
      <c r="J5" s="7" t="str">
        <f>"000002"</f>
        <v>000002</v>
      </c>
      <c r="K5" s="6">
        <v>43567</v>
      </c>
      <c r="L5" s="7" t="str">
        <f>"000003"</f>
        <v>000003</v>
      </c>
      <c r="M5" s="6">
        <v>43567</v>
      </c>
      <c r="N5" s="7">
        <v>17</v>
      </c>
      <c r="O5" s="7" t="str">
        <f>"000690"</f>
        <v>000690</v>
      </c>
      <c r="P5" s="6">
        <v>43571</v>
      </c>
      <c r="Q5" s="9">
        <v>63.660400000000003</v>
      </c>
      <c r="R5" s="9">
        <v>3.3421500000000002</v>
      </c>
      <c r="S5" s="9">
        <v>60.318249999999999</v>
      </c>
      <c r="T5" s="7">
        <v>5</v>
      </c>
      <c r="U5" s="6">
        <v>43563</v>
      </c>
      <c r="V5" s="7">
        <v>9886775766</v>
      </c>
      <c r="W5" s="8" t="s">
        <v>58</v>
      </c>
      <c r="X5" s="7" t="s">
        <v>38</v>
      </c>
      <c r="Y5" s="8" t="s">
        <v>39</v>
      </c>
      <c r="Z5" s="7" t="s">
        <v>40</v>
      </c>
      <c r="AA5" s="8" t="s">
        <v>41</v>
      </c>
      <c r="AB5" s="9">
        <f t="shared" si="0"/>
        <v>0.63660400000000006</v>
      </c>
    </row>
    <row r="6" spans="1:28" x14ac:dyDescent="0.35">
      <c r="A6" s="4">
        <v>5701</v>
      </c>
      <c r="B6" s="5" t="s">
        <v>28</v>
      </c>
      <c r="C6" s="6">
        <v>43566</v>
      </c>
      <c r="D6" s="7">
        <v>184</v>
      </c>
      <c r="E6" s="8" t="s">
        <v>44</v>
      </c>
      <c r="F6" s="7" t="s">
        <v>59</v>
      </c>
      <c r="G6" s="8" t="s">
        <v>60</v>
      </c>
      <c r="H6" s="7" t="str">
        <f>"000002"</f>
        <v>000002</v>
      </c>
      <c r="I6" s="6">
        <v>43556</v>
      </c>
      <c r="J6" s="7" t="str">
        <f>"000022"</f>
        <v>000022</v>
      </c>
      <c r="K6" s="6">
        <v>43112</v>
      </c>
      <c r="L6" s="7" t="str">
        <f>"000050"</f>
        <v>000050</v>
      </c>
      <c r="M6" s="6">
        <v>43133</v>
      </c>
      <c r="N6" s="7">
        <v>17</v>
      </c>
      <c r="O6" s="7" t="str">
        <f>"000168"</f>
        <v>000168</v>
      </c>
      <c r="P6" s="6">
        <v>43563</v>
      </c>
      <c r="Q6" s="9">
        <v>12.21485</v>
      </c>
      <c r="R6" s="9">
        <v>1.3747</v>
      </c>
      <c r="S6" s="9">
        <v>10.84015</v>
      </c>
      <c r="T6" s="7">
        <v>11</v>
      </c>
      <c r="U6" s="6">
        <v>43566</v>
      </c>
      <c r="V6" s="7">
        <v>9845996306</v>
      </c>
      <c r="W6" s="8" t="s">
        <v>61</v>
      </c>
      <c r="X6" s="7" t="s">
        <v>30</v>
      </c>
      <c r="Y6" s="8" t="s">
        <v>31</v>
      </c>
      <c r="Z6" s="7" t="s">
        <v>50</v>
      </c>
      <c r="AA6" s="8" t="s">
        <v>51</v>
      </c>
      <c r="AB6" s="9">
        <f t="shared" si="0"/>
        <v>0.12214850000000001</v>
      </c>
    </row>
    <row r="7" spans="1:28" x14ac:dyDescent="0.35">
      <c r="A7" s="4">
        <v>5702</v>
      </c>
      <c r="B7" s="5" t="s">
        <v>28</v>
      </c>
      <c r="C7" s="6">
        <v>43581</v>
      </c>
      <c r="D7" s="7">
        <v>184</v>
      </c>
      <c r="E7" s="8" t="s">
        <v>44</v>
      </c>
      <c r="F7" s="7" t="s">
        <v>62</v>
      </c>
      <c r="G7" s="8" t="s">
        <v>63</v>
      </c>
      <c r="H7" s="7" t="str">
        <f>"000055"</f>
        <v>000055</v>
      </c>
      <c r="I7" s="6">
        <v>43305</v>
      </c>
      <c r="J7" s="7" t="str">
        <f>"000101"</f>
        <v>000101</v>
      </c>
      <c r="K7" s="6">
        <v>43377</v>
      </c>
      <c r="L7" s="7" t="str">
        <f>"000280"</f>
        <v>000280</v>
      </c>
      <c r="M7" s="6">
        <v>43404</v>
      </c>
      <c r="N7" s="7">
        <v>18</v>
      </c>
      <c r="O7" s="7" t="str">
        <f>"000938"</f>
        <v>000938</v>
      </c>
      <c r="P7" s="6">
        <v>43579</v>
      </c>
      <c r="Q7" s="9">
        <v>39.97</v>
      </c>
      <c r="R7" s="9">
        <v>5.7571500000000002</v>
      </c>
      <c r="S7" s="9">
        <v>34.212850000000003</v>
      </c>
      <c r="T7" s="7">
        <v>30</v>
      </c>
      <c r="U7" s="6">
        <v>43581</v>
      </c>
      <c r="V7" s="7">
        <v>9480828220</v>
      </c>
      <c r="W7" s="8" t="s">
        <v>37</v>
      </c>
      <c r="X7" s="7" t="s">
        <v>35</v>
      </c>
      <c r="Y7" s="8" t="s">
        <v>36</v>
      </c>
      <c r="Z7" s="7" t="s">
        <v>50</v>
      </c>
      <c r="AA7" s="8" t="s">
        <v>51</v>
      </c>
      <c r="AB7" s="9">
        <f t="shared" si="0"/>
        <v>0.3997</v>
      </c>
    </row>
    <row r="8" spans="1:28" x14ac:dyDescent="0.35">
      <c r="A8" s="4">
        <v>5703</v>
      </c>
      <c r="B8" s="5" t="s">
        <v>28</v>
      </c>
      <c r="C8" s="6">
        <v>43581</v>
      </c>
      <c r="D8" s="7">
        <v>184</v>
      </c>
      <c r="E8" s="8" t="s">
        <v>44</v>
      </c>
      <c r="F8" s="7" t="s">
        <v>64</v>
      </c>
      <c r="G8" s="8" t="s">
        <v>65</v>
      </c>
      <c r="H8" s="7" t="str">
        <f>"000056"</f>
        <v>000056</v>
      </c>
      <c r="I8" s="6">
        <v>43305</v>
      </c>
      <c r="J8" s="7" t="str">
        <f>"000099"</f>
        <v>000099</v>
      </c>
      <c r="K8" s="6">
        <v>43377</v>
      </c>
      <c r="L8" s="7" t="str">
        <f>"000281"</f>
        <v>000281</v>
      </c>
      <c r="M8" s="6">
        <v>43404</v>
      </c>
      <c r="N8" s="7">
        <v>18</v>
      </c>
      <c r="O8" s="7" t="str">
        <f>"000939"</f>
        <v>000939</v>
      </c>
      <c r="P8" s="6">
        <v>43579</v>
      </c>
      <c r="Q8" s="9">
        <v>19.96</v>
      </c>
      <c r="R8" s="9">
        <v>2.8662000000000001</v>
      </c>
      <c r="S8" s="9">
        <v>17.093800000000002</v>
      </c>
      <c r="T8" s="7">
        <v>30</v>
      </c>
      <c r="U8" s="6">
        <v>43581</v>
      </c>
      <c r="V8" s="7">
        <v>9480828220</v>
      </c>
      <c r="W8" s="8" t="s">
        <v>37</v>
      </c>
      <c r="X8" s="7" t="s">
        <v>35</v>
      </c>
      <c r="Y8" s="8" t="s">
        <v>36</v>
      </c>
      <c r="Z8" s="7" t="s">
        <v>50</v>
      </c>
      <c r="AA8" s="8" t="s">
        <v>51</v>
      </c>
      <c r="AB8" s="9">
        <f t="shared" si="0"/>
        <v>0.1996</v>
      </c>
    </row>
    <row r="9" spans="1:28" x14ac:dyDescent="0.35">
      <c r="A9" s="4">
        <v>5704</v>
      </c>
      <c r="B9" s="5" t="s">
        <v>28</v>
      </c>
      <c r="C9" s="6">
        <v>43581</v>
      </c>
      <c r="D9" s="7">
        <v>184</v>
      </c>
      <c r="E9" s="8" t="s">
        <v>44</v>
      </c>
      <c r="F9" s="7" t="s">
        <v>66</v>
      </c>
      <c r="G9" s="8" t="s">
        <v>67</v>
      </c>
      <c r="H9" s="7" t="str">
        <f>"000057"</f>
        <v>000057</v>
      </c>
      <c r="I9" s="6">
        <v>43305</v>
      </c>
      <c r="J9" s="7" t="str">
        <f>"000100"</f>
        <v>000100</v>
      </c>
      <c r="K9" s="6">
        <v>43377</v>
      </c>
      <c r="L9" s="7" t="str">
        <f>"000282"</f>
        <v>000282</v>
      </c>
      <c r="M9" s="6">
        <v>43404</v>
      </c>
      <c r="N9" s="7">
        <v>18</v>
      </c>
      <c r="O9" s="7" t="str">
        <f>"000940"</f>
        <v>000940</v>
      </c>
      <c r="P9" s="6">
        <v>43579</v>
      </c>
      <c r="Q9" s="9">
        <v>49.96</v>
      </c>
      <c r="R9" s="9">
        <v>7.0362</v>
      </c>
      <c r="S9" s="9">
        <v>42.9238</v>
      </c>
      <c r="T9" s="7">
        <v>30</v>
      </c>
      <c r="U9" s="6">
        <v>43581</v>
      </c>
      <c r="V9" s="7">
        <v>9480828220</v>
      </c>
      <c r="W9" s="8" t="s">
        <v>37</v>
      </c>
      <c r="X9" s="7" t="s">
        <v>35</v>
      </c>
      <c r="Y9" s="8" t="s">
        <v>36</v>
      </c>
      <c r="Z9" s="7" t="s">
        <v>50</v>
      </c>
      <c r="AA9" s="8" t="s">
        <v>51</v>
      </c>
      <c r="AB9" s="9">
        <f t="shared" si="0"/>
        <v>0.49959999999999999</v>
      </c>
    </row>
    <row r="10" spans="1:28" x14ac:dyDescent="0.35">
      <c r="A10" s="4">
        <v>5705</v>
      </c>
      <c r="B10" s="5" t="s">
        <v>28</v>
      </c>
      <c r="C10" s="6">
        <v>43582</v>
      </c>
      <c r="D10" s="7">
        <v>184</v>
      </c>
      <c r="E10" s="8" t="s">
        <v>44</v>
      </c>
      <c r="F10" s="7" t="s">
        <v>68</v>
      </c>
      <c r="G10" s="8" t="s">
        <v>69</v>
      </c>
      <c r="H10" s="7" t="str">
        <f>"000055"</f>
        <v>000055</v>
      </c>
      <c r="I10" s="6">
        <v>43155</v>
      </c>
      <c r="J10" s="7" t="str">
        <f>"000087"</f>
        <v>000087</v>
      </c>
      <c r="K10" s="6">
        <v>43485</v>
      </c>
      <c r="L10" s="7" t="str">
        <f>"000088"</f>
        <v>000088</v>
      </c>
      <c r="M10" s="6">
        <v>43493</v>
      </c>
      <c r="N10" s="7">
        <v>16</v>
      </c>
      <c r="O10" s="7" t="str">
        <f>"001055"</f>
        <v>001055</v>
      </c>
      <c r="P10" s="6">
        <v>43581</v>
      </c>
      <c r="Q10" s="9">
        <v>8.2916399999999992</v>
      </c>
      <c r="R10" s="9">
        <v>1.07643</v>
      </c>
      <c r="S10" s="9">
        <v>7.2152099999999999</v>
      </c>
      <c r="T10" s="7">
        <v>32</v>
      </c>
      <c r="U10" s="6">
        <v>43582</v>
      </c>
      <c r="V10" s="7">
        <v>9448522800</v>
      </c>
      <c r="W10" s="8" t="s">
        <v>70</v>
      </c>
      <c r="X10" s="7" t="s">
        <v>34</v>
      </c>
      <c r="Y10" s="8" t="s">
        <v>33</v>
      </c>
      <c r="Z10" s="7" t="s">
        <v>42</v>
      </c>
      <c r="AA10" s="8" t="s">
        <v>43</v>
      </c>
      <c r="AB10" s="9">
        <f t="shared" si="0"/>
        <v>8.2916399999999987E-2</v>
      </c>
    </row>
    <row r="11" spans="1:28" x14ac:dyDescent="0.35">
      <c r="A11" s="4">
        <v>5706</v>
      </c>
      <c r="B11" s="5" t="s">
        <v>28</v>
      </c>
      <c r="C11" s="6">
        <v>43582</v>
      </c>
      <c r="D11" s="7">
        <v>184</v>
      </c>
      <c r="E11" s="8" t="s">
        <v>44</v>
      </c>
      <c r="F11" s="7" t="s">
        <v>68</v>
      </c>
      <c r="G11" s="8" t="s">
        <v>69</v>
      </c>
      <c r="H11" s="7" t="str">
        <f>"000055"</f>
        <v>000055</v>
      </c>
      <c r="I11" s="6">
        <v>43155</v>
      </c>
      <c r="J11" s="7" t="str">
        <f>"000087"</f>
        <v>000087</v>
      </c>
      <c r="K11" s="6">
        <v>43485</v>
      </c>
      <c r="L11" s="7" t="str">
        <f>"000088"</f>
        <v>000088</v>
      </c>
      <c r="M11" s="6">
        <v>43493</v>
      </c>
      <c r="N11" s="7">
        <v>16</v>
      </c>
      <c r="O11" s="7" t="str">
        <f>"001055"</f>
        <v>001055</v>
      </c>
      <c r="P11" s="6">
        <v>43581</v>
      </c>
      <c r="Q11" s="9">
        <v>16.583290000000002</v>
      </c>
      <c r="R11" s="9">
        <v>2.1577700000000002</v>
      </c>
      <c r="S11" s="9">
        <v>14.425520000000001</v>
      </c>
      <c r="T11" s="7">
        <v>32</v>
      </c>
      <c r="U11" s="6">
        <v>43582</v>
      </c>
      <c r="V11" s="7">
        <v>9448522800</v>
      </c>
      <c r="W11" s="8" t="s">
        <v>70</v>
      </c>
      <c r="X11" s="7" t="s">
        <v>34</v>
      </c>
      <c r="Y11" s="8" t="s">
        <v>33</v>
      </c>
      <c r="Z11" s="7" t="s">
        <v>42</v>
      </c>
      <c r="AA11" s="8" t="s">
        <v>43</v>
      </c>
      <c r="AB11" s="9">
        <f t="shared" si="0"/>
        <v>0.16583290000000001</v>
      </c>
    </row>
    <row r="12" spans="1:28" x14ac:dyDescent="0.35">
      <c r="A12" s="4">
        <v>5707</v>
      </c>
      <c r="B12" s="5" t="s">
        <v>32</v>
      </c>
      <c r="C12" s="6">
        <v>43588</v>
      </c>
      <c r="D12" s="7">
        <v>184</v>
      </c>
      <c r="E12" s="8" t="s">
        <v>44</v>
      </c>
      <c r="F12" s="7" t="s">
        <v>54</v>
      </c>
      <c r="G12" s="8" t="s">
        <v>55</v>
      </c>
      <c r="H12" s="7" t="str">
        <f>"000230"</f>
        <v>000230</v>
      </c>
      <c r="I12" s="6">
        <v>43531</v>
      </c>
      <c r="J12" s="7" t="str">
        <f>"000007"</f>
        <v>000007</v>
      </c>
      <c r="K12" s="6">
        <v>43581</v>
      </c>
      <c r="L12" s="7" t="str">
        <f>"000014"</f>
        <v>000014</v>
      </c>
      <c r="M12" s="6">
        <v>43582</v>
      </c>
      <c r="N12" s="7">
        <v>19</v>
      </c>
      <c r="O12" s="7" t="str">
        <f>"001226"</f>
        <v>001226</v>
      </c>
      <c r="P12" s="6">
        <v>43584</v>
      </c>
      <c r="Q12" s="9">
        <v>10.875999999999999</v>
      </c>
      <c r="R12" s="9">
        <v>0.54491999999999996</v>
      </c>
      <c r="S12" s="9">
        <v>10.33108</v>
      </c>
      <c r="T12" s="7">
        <v>34</v>
      </c>
      <c r="U12" s="6">
        <v>43588</v>
      </c>
      <c r="V12" s="7">
        <v>9845057449</v>
      </c>
      <c r="W12" s="8" t="s">
        <v>47</v>
      </c>
      <c r="X12" s="7" t="s">
        <v>48</v>
      </c>
      <c r="Y12" s="8" t="s">
        <v>49</v>
      </c>
      <c r="Z12" s="7" t="s">
        <v>50</v>
      </c>
      <c r="AA12" s="8" t="s">
        <v>51</v>
      </c>
      <c r="AB12" s="9">
        <f t="shared" si="0"/>
        <v>0.10876</v>
      </c>
    </row>
    <row r="13" spans="1:28" x14ac:dyDescent="0.35">
      <c r="A13" s="4">
        <v>5708</v>
      </c>
      <c r="B13" s="5" t="s">
        <v>32</v>
      </c>
      <c r="C13" s="6">
        <v>43588</v>
      </c>
      <c r="D13" s="7">
        <v>184</v>
      </c>
      <c r="E13" s="8" t="s">
        <v>44</v>
      </c>
      <c r="F13" s="7" t="s">
        <v>52</v>
      </c>
      <c r="G13" s="8" t="s">
        <v>53</v>
      </c>
      <c r="H13" s="7" t="str">
        <f>"000229"</f>
        <v>000229</v>
      </c>
      <c r="I13" s="6">
        <v>43531</v>
      </c>
      <c r="J13" s="7" t="str">
        <f>"000009"</f>
        <v>000009</v>
      </c>
      <c r="K13" s="6">
        <v>43581</v>
      </c>
      <c r="L13" s="7" t="str">
        <f>"000015"</f>
        <v>000015</v>
      </c>
      <c r="M13" s="6">
        <v>43582</v>
      </c>
      <c r="N13" s="7">
        <v>19</v>
      </c>
      <c r="O13" s="7" t="str">
        <f>"001227"</f>
        <v>001227</v>
      </c>
      <c r="P13" s="6">
        <v>43584</v>
      </c>
      <c r="Q13" s="9">
        <v>10.9</v>
      </c>
      <c r="R13" s="9">
        <v>0.54554000000000002</v>
      </c>
      <c r="S13" s="9">
        <v>10.35446</v>
      </c>
      <c r="T13" s="7">
        <v>34</v>
      </c>
      <c r="U13" s="6">
        <v>43588</v>
      </c>
      <c r="V13" s="7">
        <v>9845057449</v>
      </c>
      <c r="W13" s="8" t="s">
        <v>47</v>
      </c>
      <c r="X13" s="7" t="s">
        <v>48</v>
      </c>
      <c r="Y13" s="8" t="s">
        <v>49</v>
      </c>
      <c r="Z13" s="7" t="s">
        <v>50</v>
      </c>
      <c r="AA13" s="8" t="s">
        <v>51</v>
      </c>
      <c r="AB13" s="9">
        <f t="shared" si="0"/>
        <v>0.109</v>
      </c>
    </row>
    <row r="14" spans="1:28" x14ac:dyDescent="0.35">
      <c r="A14" s="4">
        <v>5709</v>
      </c>
      <c r="B14" s="5" t="s">
        <v>32</v>
      </c>
      <c r="C14" s="6">
        <v>43603</v>
      </c>
      <c r="D14" s="7">
        <v>184</v>
      </c>
      <c r="E14" s="8" t="s">
        <v>44</v>
      </c>
      <c r="F14" s="7" t="s">
        <v>56</v>
      </c>
      <c r="G14" s="8" t="s">
        <v>57</v>
      </c>
      <c r="H14" s="7" t="str">
        <f>"000059"</f>
        <v>000059</v>
      </c>
      <c r="I14" s="6">
        <v>43539</v>
      </c>
      <c r="J14" s="7" t="str">
        <f>"000002"</f>
        <v>000002</v>
      </c>
      <c r="K14" s="6">
        <v>43567</v>
      </c>
      <c r="L14" s="7" t="str">
        <f>"000003"</f>
        <v>000003</v>
      </c>
      <c r="M14" s="6">
        <v>43567</v>
      </c>
      <c r="N14" s="7">
        <v>17</v>
      </c>
      <c r="O14" s="7" t="str">
        <f>"000690"</f>
        <v>000690</v>
      </c>
      <c r="P14" s="6">
        <v>43571</v>
      </c>
      <c r="Q14" s="9">
        <v>58.774799999999999</v>
      </c>
      <c r="R14" s="9">
        <v>2.4218000000000002</v>
      </c>
      <c r="S14" s="9">
        <v>56.353000000000002</v>
      </c>
      <c r="T14" s="7">
        <v>51</v>
      </c>
      <c r="U14" s="6">
        <v>43603</v>
      </c>
      <c r="V14" s="7">
        <v>9886775766</v>
      </c>
      <c r="W14" s="8" t="s">
        <v>58</v>
      </c>
      <c r="X14" s="7" t="s">
        <v>38</v>
      </c>
      <c r="Y14" s="8" t="s">
        <v>39</v>
      </c>
      <c r="Z14" s="7" t="s">
        <v>40</v>
      </c>
      <c r="AA14" s="8" t="s">
        <v>41</v>
      </c>
      <c r="AB14" s="9">
        <f t="shared" si="0"/>
        <v>0.58774799999999994</v>
      </c>
    </row>
    <row r="15" spans="1:28" x14ac:dyDescent="0.35">
      <c r="A15" s="4">
        <v>5710</v>
      </c>
      <c r="B15" s="5" t="s">
        <v>32</v>
      </c>
      <c r="C15" s="6">
        <v>43603</v>
      </c>
      <c r="D15" s="7">
        <v>184</v>
      </c>
      <c r="E15" s="8" t="s">
        <v>44</v>
      </c>
      <c r="F15" s="7" t="s">
        <v>56</v>
      </c>
      <c r="G15" s="8" t="s">
        <v>57</v>
      </c>
      <c r="H15" s="7" t="str">
        <f>"000059"</f>
        <v>000059</v>
      </c>
      <c r="I15" s="6">
        <v>43539</v>
      </c>
      <c r="J15" s="7" t="str">
        <f>"000002"</f>
        <v>000002</v>
      </c>
      <c r="K15" s="6">
        <v>43567</v>
      </c>
      <c r="L15" s="7" t="str">
        <f>"000003"</f>
        <v>000003</v>
      </c>
      <c r="M15" s="6">
        <v>43567</v>
      </c>
      <c r="N15" s="7">
        <v>17</v>
      </c>
      <c r="O15" s="7" t="str">
        <f>"000690"</f>
        <v>000690</v>
      </c>
      <c r="P15" s="6">
        <v>43571</v>
      </c>
      <c r="Q15" s="9">
        <v>24.889500000000002</v>
      </c>
      <c r="R15" s="9">
        <v>1.4472</v>
      </c>
      <c r="S15" s="9">
        <v>23.442299999999999</v>
      </c>
      <c r="T15" s="7">
        <v>51</v>
      </c>
      <c r="U15" s="6">
        <v>43603</v>
      </c>
      <c r="V15" s="7">
        <v>9886775766</v>
      </c>
      <c r="W15" s="8" t="s">
        <v>58</v>
      </c>
      <c r="X15" s="7" t="s">
        <v>38</v>
      </c>
      <c r="Y15" s="8" t="s">
        <v>39</v>
      </c>
      <c r="Z15" s="7" t="s">
        <v>40</v>
      </c>
      <c r="AA15" s="8" t="s">
        <v>41</v>
      </c>
      <c r="AB15" s="9">
        <f t="shared" si="0"/>
        <v>0.24889500000000001</v>
      </c>
    </row>
    <row r="16" spans="1:28" x14ac:dyDescent="0.35">
      <c r="A16" s="4">
        <v>5711</v>
      </c>
      <c r="B16" s="5" t="s">
        <v>29</v>
      </c>
      <c r="C16" s="6">
        <v>43628</v>
      </c>
      <c r="D16" s="7">
        <v>184</v>
      </c>
      <c r="E16" s="8" t="s">
        <v>44</v>
      </c>
      <c r="F16" s="7" t="s">
        <v>71</v>
      </c>
      <c r="G16" s="8" t="s">
        <v>72</v>
      </c>
      <c r="H16" s="7" t="str">
        <f>"000032"</f>
        <v>000032</v>
      </c>
      <c r="I16" s="6">
        <v>42996</v>
      </c>
      <c r="J16" s="7" t="str">
        <f>"000015"</f>
        <v>000015</v>
      </c>
      <c r="K16" s="6">
        <v>43096</v>
      </c>
      <c r="L16" s="7" t="str">
        <f>"000002"</f>
        <v>000002</v>
      </c>
      <c r="M16" s="6">
        <v>43097</v>
      </c>
      <c r="N16" s="7">
        <v>17</v>
      </c>
      <c r="O16" s="7" t="str">
        <f>"002621"</f>
        <v>002621</v>
      </c>
      <c r="P16" s="6">
        <v>43627</v>
      </c>
      <c r="Q16" s="9">
        <v>28.708500000000001</v>
      </c>
      <c r="R16" s="9">
        <v>3.2818999999999998</v>
      </c>
      <c r="S16" s="9">
        <v>25.426600000000001</v>
      </c>
      <c r="T16" s="7">
        <v>76</v>
      </c>
      <c r="U16" s="6">
        <v>43628</v>
      </c>
      <c r="V16" s="7">
        <v>9900218893</v>
      </c>
      <c r="W16" s="8" t="s">
        <v>73</v>
      </c>
      <c r="X16" s="7" t="s">
        <v>30</v>
      </c>
      <c r="Y16" s="8" t="s">
        <v>31</v>
      </c>
      <c r="Z16" s="7" t="s">
        <v>50</v>
      </c>
      <c r="AA16" s="8" t="s">
        <v>51</v>
      </c>
      <c r="AB16" s="9">
        <v>0.28708500000000003</v>
      </c>
    </row>
    <row r="17" spans="1:28" x14ac:dyDescent="0.35">
      <c r="A17" s="4">
        <v>5712</v>
      </c>
      <c r="B17" s="5" t="s">
        <v>29</v>
      </c>
      <c r="C17" s="6">
        <v>43628</v>
      </c>
      <c r="D17" s="7">
        <v>184</v>
      </c>
      <c r="E17" s="8" t="s">
        <v>44</v>
      </c>
      <c r="F17" s="7" t="s">
        <v>74</v>
      </c>
      <c r="G17" s="8" t="s">
        <v>75</v>
      </c>
      <c r="H17" s="7" t="str">
        <f>"000142"</f>
        <v>000142</v>
      </c>
      <c r="I17" s="6">
        <v>43484</v>
      </c>
      <c r="J17" s="7" t="str">
        <f>"000169"</f>
        <v>000169</v>
      </c>
      <c r="K17" s="6">
        <v>43549</v>
      </c>
      <c r="L17" s="7" t="str">
        <f>"000433"</f>
        <v>000433</v>
      </c>
      <c r="M17" s="6">
        <v>43549</v>
      </c>
      <c r="N17" s="7">
        <v>19</v>
      </c>
      <c r="O17" s="7" t="str">
        <f>"002373"</f>
        <v>002373</v>
      </c>
      <c r="P17" s="6">
        <v>43619</v>
      </c>
      <c r="Q17" s="9">
        <v>88.75</v>
      </c>
      <c r="R17" s="9">
        <v>11.45682</v>
      </c>
      <c r="S17" s="9">
        <v>77.293180000000007</v>
      </c>
      <c r="T17" s="7">
        <v>77</v>
      </c>
      <c r="U17" s="6">
        <v>43628</v>
      </c>
      <c r="V17" s="7">
        <v>8861140029</v>
      </c>
      <c r="W17" s="8" t="s">
        <v>37</v>
      </c>
      <c r="X17" s="7" t="s">
        <v>35</v>
      </c>
      <c r="Y17" s="8" t="s">
        <v>36</v>
      </c>
      <c r="Z17" s="7" t="s">
        <v>50</v>
      </c>
      <c r="AA17" s="8" t="s">
        <v>51</v>
      </c>
      <c r="AB17" s="9">
        <v>0.88749999999999996</v>
      </c>
    </row>
    <row r="18" spans="1:28" x14ac:dyDescent="0.35">
      <c r="A18" s="4">
        <v>5713</v>
      </c>
      <c r="B18" s="5" t="s">
        <v>76</v>
      </c>
      <c r="C18" s="6">
        <v>43647</v>
      </c>
      <c r="D18" s="7">
        <v>184</v>
      </c>
      <c r="E18" s="8" t="s">
        <v>44</v>
      </c>
      <c r="F18" s="7" t="s">
        <v>133</v>
      </c>
      <c r="G18" s="10" t="s">
        <v>134</v>
      </c>
      <c r="H18" s="7" t="str">
        <f>"000003"</f>
        <v>000003</v>
      </c>
      <c r="I18" s="6">
        <v>43084</v>
      </c>
      <c r="J18" s="7" t="str">
        <f>"000004"</f>
        <v>000004</v>
      </c>
      <c r="K18" s="6">
        <v>43084</v>
      </c>
      <c r="L18" s="7" t="str">
        <f>"000006"</f>
        <v>000006</v>
      </c>
      <c r="M18" s="6">
        <v>43084</v>
      </c>
      <c r="N18" s="7">
        <v>17</v>
      </c>
      <c r="O18" s="7" t="str">
        <f>"003041"</f>
        <v>003041</v>
      </c>
      <c r="P18" s="6">
        <v>43640</v>
      </c>
      <c r="Q18" s="11">
        <v>9.7059999999999995</v>
      </c>
      <c r="R18" s="11">
        <v>0.39810000000000001</v>
      </c>
      <c r="S18" s="11">
        <v>9.3079000000000001</v>
      </c>
      <c r="T18" s="7">
        <v>96</v>
      </c>
      <c r="U18" s="6">
        <v>43647</v>
      </c>
      <c r="V18" s="7">
        <v>9980005471</v>
      </c>
      <c r="W18" s="10" t="s">
        <v>135</v>
      </c>
      <c r="X18" s="7" t="s">
        <v>136</v>
      </c>
      <c r="Y18" s="10" t="s">
        <v>137</v>
      </c>
      <c r="Z18" s="7" t="s">
        <v>138</v>
      </c>
      <c r="AA18" s="10" t="s">
        <v>139</v>
      </c>
      <c r="AB18" s="11">
        <f t="shared" ref="AB18:AB41" si="1">Q18/100</f>
        <v>9.7059999999999994E-2</v>
      </c>
    </row>
    <row r="19" spans="1:28" x14ac:dyDescent="0.35">
      <c r="A19" s="4">
        <v>5714</v>
      </c>
      <c r="B19" s="5" t="s">
        <v>76</v>
      </c>
      <c r="C19" s="6">
        <v>43647</v>
      </c>
      <c r="D19" s="7">
        <v>184</v>
      </c>
      <c r="E19" s="8" t="s">
        <v>44</v>
      </c>
      <c r="F19" s="7" t="s">
        <v>77</v>
      </c>
      <c r="G19" s="10" t="s">
        <v>78</v>
      </c>
      <c r="H19" s="7" t="str">
        <f>"000144"</f>
        <v>000144</v>
      </c>
      <c r="I19" s="6">
        <v>43484</v>
      </c>
      <c r="J19" s="7" t="str">
        <f>"000001"</f>
        <v>000001</v>
      </c>
      <c r="K19" s="6">
        <v>43564</v>
      </c>
      <c r="L19" s="7" t="str">
        <f>"000039"</f>
        <v>000039</v>
      </c>
      <c r="M19" s="6">
        <v>43585</v>
      </c>
      <c r="N19" s="7">
        <v>19</v>
      </c>
      <c r="O19" s="7" t="str">
        <f>"002999"</f>
        <v>002999</v>
      </c>
      <c r="P19" s="6">
        <v>43640</v>
      </c>
      <c r="Q19" s="11">
        <v>98.95</v>
      </c>
      <c r="R19" s="11">
        <v>13.55246</v>
      </c>
      <c r="S19" s="11">
        <v>85.397540000000006</v>
      </c>
      <c r="T19" s="7">
        <v>97</v>
      </c>
      <c r="U19" s="6">
        <v>43647</v>
      </c>
      <c r="V19" s="7">
        <v>9036405669</v>
      </c>
      <c r="W19" s="10" t="s">
        <v>37</v>
      </c>
      <c r="X19" s="7" t="s">
        <v>35</v>
      </c>
      <c r="Y19" s="10" t="s">
        <v>36</v>
      </c>
      <c r="Z19" s="7" t="s">
        <v>50</v>
      </c>
      <c r="AA19" s="10" t="s">
        <v>79</v>
      </c>
      <c r="AB19" s="11">
        <f t="shared" si="1"/>
        <v>0.98950000000000005</v>
      </c>
    </row>
    <row r="20" spans="1:28" x14ac:dyDescent="0.35">
      <c r="A20" s="4">
        <v>5715</v>
      </c>
      <c r="B20" s="5" t="s">
        <v>76</v>
      </c>
      <c r="C20" s="6">
        <v>43647</v>
      </c>
      <c r="D20" s="7">
        <v>184</v>
      </c>
      <c r="E20" s="8" t="s">
        <v>44</v>
      </c>
      <c r="F20" s="7" t="s">
        <v>80</v>
      </c>
      <c r="G20" s="10" t="s">
        <v>81</v>
      </c>
      <c r="H20" s="7" t="str">
        <f>"000005"</f>
        <v>000005</v>
      </c>
      <c r="I20" s="6">
        <v>43623</v>
      </c>
      <c r="J20" s="7" t="str">
        <f>"000027"</f>
        <v>000027</v>
      </c>
      <c r="K20" s="6">
        <v>43641</v>
      </c>
      <c r="L20" s="7" t="str">
        <f>"000089"</f>
        <v>000089</v>
      </c>
      <c r="M20" s="6">
        <v>43642</v>
      </c>
      <c r="N20" s="7">
        <v>20</v>
      </c>
      <c r="O20" s="7" t="str">
        <f>"003242"</f>
        <v>003242</v>
      </c>
      <c r="P20" s="6">
        <v>43644</v>
      </c>
      <c r="Q20" s="11">
        <v>98.81</v>
      </c>
      <c r="R20" s="11">
        <v>4.2014100000000001</v>
      </c>
      <c r="S20" s="11">
        <v>94.608590000000007</v>
      </c>
      <c r="T20" s="7">
        <v>99</v>
      </c>
      <c r="U20" s="6">
        <v>43647</v>
      </c>
      <c r="V20" s="7">
        <v>9845057449</v>
      </c>
      <c r="W20" s="10" t="s">
        <v>47</v>
      </c>
      <c r="X20" s="7" t="s">
        <v>48</v>
      </c>
      <c r="Y20" s="10" t="s">
        <v>49</v>
      </c>
      <c r="Z20" s="7" t="s">
        <v>50</v>
      </c>
      <c r="AA20" s="10" t="s">
        <v>79</v>
      </c>
      <c r="AB20" s="11">
        <f t="shared" si="1"/>
        <v>0.98809999999999998</v>
      </c>
    </row>
    <row r="21" spans="1:28" x14ac:dyDescent="0.35">
      <c r="A21" s="4">
        <v>5716</v>
      </c>
      <c r="B21" s="5" t="s">
        <v>76</v>
      </c>
      <c r="C21" s="6">
        <v>43654</v>
      </c>
      <c r="D21" s="7">
        <v>184</v>
      </c>
      <c r="E21" s="8" t="s">
        <v>44</v>
      </c>
      <c r="F21" s="7" t="s">
        <v>68</v>
      </c>
      <c r="G21" s="10" t="s">
        <v>69</v>
      </c>
      <c r="H21" s="7" t="str">
        <f>"000055"</f>
        <v>000055</v>
      </c>
      <c r="I21" s="6">
        <v>43155</v>
      </c>
      <c r="J21" s="7" t="str">
        <f>"000043"</f>
        <v>000043</v>
      </c>
      <c r="K21" s="6">
        <v>43782</v>
      </c>
      <c r="L21" s="7" t="str">
        <f>""</f>
        <v/>
      </c>
      <c r="M21" s="7"/>
      <c r="N21" s="7">
        <v>16</v>
      </c>
      <c r="O21" s="7" t="str">
        <f>""</f>
        <v/>
      </c>
      <c r="P21" s="7"/>
      <c r="Q21" s="11">
        <v>10.364549999999999</v>
      </c>
      <c r="R21" s="11">
        <v>1.3724499999999999</v>
      </c>
      <c r="S21" s="11">
        <v>8.9921000000000006</v>
      </c>
      <c r="T21" s="7">
        <v>109</v>
      </c>
      <c r="U21" s="6">
        <v>43654</v>
      </c>
      <c r="V21" s="7">
        <v>9448522800</v>
      </c>
      <c r="W21" s="10" t="s">
        <v>70</v>
      </c>
      <c r="X21" s="7" t="s">
        <v>34</v>
      </c>
      <c r="Y21" s="10" t="s">
        <v>33</v>
      </c>
      <c r="Z21" s="7" t="s">
        <v>42</v>
      </c>
      <c r="AA21" s="10" t="s">
        <v>43</v>
      </c>
      <c r="AB21" s="11">
        <f t="shared" si="1"/>
        <v>0.1036455</v>
      </c>
    </row>
    <row r="22" spans="1:28" x14ac:dyDescent="0.35">
      <c r="A22" s="4">
        <v>5717</v>
      </c>
      <c r="B22" s="5" t="s">
        <v>76</v>
      </c>
      <c r="C22" s="6">
        <v>43658</v>
      </c>
      <c r="D22" s="7">
        <v>184</v>
      </c>
      <c r="E22" s="8" t="s">
        <v>44</v>
      </c>
      <c r="F22" s="7" t="s">
        <v>82</v>
      </c>
      <c r="G22" s="10" t="s">
        <v>83</v>
      </c>
      <c r="H22" s="7" t="str">
        <f>"000148"</f>
        <v>000148</v>
      </c>
      <c r="I22" s="6">
        <v>43484</v>
      </c>
      <c r="J22" s="7" t="str">
        <f>"000017"</f>
        <v>000017</v>
      </c>
      <c r="K22" s="6">
        <v>43594</v>
      </c>
      <c r="L22" s="7" t="str">
        <f>"000067"</f>
        <v>000067</v>
      </c>
      <c r="M22" s="6">
        <v>43614</v>
      </c>
      <c r="N22" s="7">
        <v>19</v>
      </c>
      <c r="O22" s="7" t="str">
        <f>"003305"</f>
        <v>003305</v>
      </c>
      <c r="P22" s="6">
        <v>43650</v>
      </c>
      <c r="Q22" s="11">
        <v>94</v>
      </c>
      <c r="R22" s="11">
        <v>12.41066</v>
      </c>
      <c r="S22" s="11">
        <v>81.589340000000007</v>
      </c>
      <c r="T22" s="7">
        <v>112</v>
      </c>
      <c r="U22" s="6">
        <v>43658</v>
      </c>
      <c r="V22" s="7">
        <v>9036405669</v>
      </c>
      <c r="W22" s="10" t="s">
        <v>37</v>
      </c>
      <c r="X22" s="7" t="s">
        <v>35</v>
      </c>
      <c r="Y22" s="10" t="s">
        <v>36</v>
      </c>
      <c r="Z22" s="7" t="s">
        <v>50</v>
      </c>
      <c r="AA22" s="10" t="s">
        <v>79</v>
      </c>
      <c r="AB22" s="11">
        <f t="shared" si="1"/>
        <v>0.94</v>
      </c>
    </row>
    <row r="23" spans="1:28" x14ac:dyDescent="0.35">
      <c r="A23" s="4">
        <v>5718</v>
      </c>
      <c r="B23" s="5" t="s">
        <v>76</v>
      </c>
      <c r="C23" s="6">
        <v>43658</v>
      </c>
      <c r="D23" s="7">
        <v>184</v>
      </c>
      <c r="E23" s="8" t="s">
        <v>44</v>
      </c>
      <c r="F23" s="7" t="s">
        <v>84</v>
      </c>
      <c r="G23" s="10" t="s">
        <v>85</v>
      </c>
      <c r="H23" s="7" t="str">
        <f>"000146"</f>
        <v>000146</v>
      </c>
      <c r="I23" s="6">
        <v>43484</v>
      </c>
      <c r="J23" s="7" t="str">
        <f>"000022"</f>
        <v>000022</v>
      </c>
      <c r="K23" s="6">
        <v>43614</v>
      </c>
      <c r="L23" s="7" t="str">
        <f>"000075"</f>
        <v>000075</v>
      </c>
      <c r="M23" s="6">
        <v>43615</v>
      </c>
      <c r="N23" s="7">
        <v>19</v>
      </c>
      <c r="O23" s="7" t="str">
        <f>"003306"</f>
        <v>003306</v>
      </c>
      <c r="P23" s="6">
        <v>43650</v>
      </c>
      <c r="Q23" s="11">
        <v>74.198999999999998</v>
      </c>
      <c r="R23" s="11">
        <v>9.7544299999999993</v>
      </c>
      <c r="S23" s="11">
        <v>64.444569999999999</v>
      </c>
      <c r="T23" s="7">
        <v>112</v>
      </c>
      <c r="U23" s="6">
        <v>43658</v>
      </c>
      <c r="V23" s="7">
        <v>9036405669</v>
      </c>
      <c r="W23" s="10" t="s">
        <v>37</v>
      </c>
      <c r="X23" s="7" t="s">
        <v>35</v>
      </c>
      <c r="Y23" s="10" t="s">
        <v>36</v>
      </c>
      <c r="Z23" s="7" t="s">
        <v>50</v>
      </c>
      <c r="AA23" s="10" t="s">
        <v>79</v>
      </c>
      <c r="AB23" s="11">
        <f t="shared" si="1"/>
        <v>0.74198999999999993</v>
      </c>
    </row>
    <row r="24" spans="1:28" x14ac:dyDescent="0.35">
      <c r="A24" s="4">
        <v>5719</v>
      </c>
      <c r="B24" s="5" t="s">
        <v>76</v>
      </c>
      <c r="C24" s="6">
        <v>43658</v>
      </c>
      <c r="D24" s="7">
        <v>184</v>
      </c>
      <c r="E24" s="8" t="s">
        <v>44</v>
      </c>
      <c r="F24" s="7" t="s">
        <v>86</v>
      </c>
      <c r="G24" s="10" t="s">
        <v>87</v>
      </c>
      <c r="H24" s="7" t="str">
        <f>"000143"</f>
        <v>000143</v>
      </c>
      <c r="I24" s="6">
        <v>43484</v>
      </c>
      <c r="J24" s="7" t="str">
        <f>"000018"</f>
        <v>000018</v>
      </c>
      <c r="K24" s="6">
        <v>43594</v>
      </c>
      <c r="L24" s="7" t="str">
        <f>"000065"</f>
        <v>000065</v>
      </c>
      <c r="M24" s="6">
        <v>43614</v>
      </c>
      <c r="N24" s="7">
        <v>19</v>
      </c>
      <c r="O24" s="7" t="str">
        <f>"003307"</f>
        <v>003307</v>
      </c>
      <c r="P24" s="6">
        <v>43650</v>
      </c>
      <c r="Q24" s="11">
        <v>84.11</v>
      </c>
      <c r="R24" s="11">
        <v>11.68402</v>
      </c>
      <c r="S24" s="11">
        <v>72.425979999999996</v>
      </c>
      <c r="T24" s="7">
        <v>112</v>
      </c>
      <c r="U24" s="6">
        <v>43658</v>
      </c>
      <c r="V24" s="7">
        <v>9036405669</v>
      </c>
      <c r="W24" s="10" t="s">
        <v>37</v>
      </c>
      <c r="X24" s="7" t="s">
        <v>35</v>
      </c>
      <c r="Y24" s="10" t="s">
        <v>36</v>
      </c>
      <c r="Z24" s="7" t="s">
        <v>50</v>
      </c>
      <c r="AA24" s="10" t="s">
        <v>79</v>
      </c>
      <c r="AB24" s="11">
        <f t="shared" si="1"/>
        <v>0.84109999999999996</v>
      </c>
    </row>
    <row r="25" spans="1:28" x14ac:dyDescent="0.35">
      <c r="A25" s="4">
        <v>5720</v>
      </c>
      <c r="B25" s="5" t="s">
        <v>76</v>
      </c>
      <c r="C25" s="6">
        <v>43664</v>
      </c>
      <c r="D25" s="7">
        <v>184</v>
      </c>
      <c r="E25" s="8" t="s">
        <v>44</v>
      </c>
      <c r="F25" s="7" t="s">
        <v>88</v>
      </c>
      <c r="G25" s="10" t="s">
        <v>89</v>
      </c>
      <c r="H25" s="7" t="str">
        <f>"000019"</f>
        <v>000019</v>
      </c>
      <c r="I25" s="6">
        <v>43244</v>
      </c>
      <c r="J25" s="7" t="str">
        <f>"000061"</f>
        <v>000061</v>
      </c>
      <c r="K25" s="6">
        <v>43259</v>
      </c>
      <c r="L25" s="7" t="str">
        <f>"000169"</f>
        <v>000169</v>
      </c>
      <c r="M25" s="6">
        <v>43281</v>
      </c>
      <c r="N25" s="7">
        <v>18</v>
      </c>
      <c r="O25" s="7" t="str">
        <f>"003475"</f>
        <v>003475</v>
      </c>
      <c r="P25" s="6">
        <v>43662</v>
      </c>
      <c r="Q25" s="11">
        <v>49.75</v>
      </c>
      <c r="R25" s="11">
        <v>5.782</v>
      </c>
      <c r="S25" s="11">
        <v>43.968000000000004</v>
      </c>
      <c r="T25" s="7">
        <v>116</v>
      </c>
      <c r="U25" s="6">
        <v>43664</v>
      </c>
      <c r="V25" s="7">
        <v>9845996306</v>
      </c>
      <c r="W25" s="10" t="s">
        <v>90</v>
      </c>
      <c r="X25" s="7" t="s">
        <v>91</v>
      </c>
      <c r="Y25" s="10" t="s">
        <v>92</v>
      </c>
      <c r="Z25" s="7" t="s">
        <v>50</v>
      </c>
      <c r="AA25" s="10" t="s">
        <v>79</v>
      </c>
      <c r="AB25" s="11">
        <f t="shared" si="1"/>
        <v>0.4975</v>
      </c>
    </row>
    <row r="26" spans="1:28" x14ac:dyDescent="0.35">
      <c r="A26" s="4">
        <v>5721</v>
      </c>
      <c r="B26" s="5" t="s">
        <v>76</v>
      </c>
      <c r="C26" s="6">
        <v>43664</v>
      </c>
      <c r="D26" s="7">
        <v>184</v>
      </c>
      <c r="E26" s="8" t="s">
        <v>44</v>
      </c>
      <c r="F26" s="7" t="s">
        <v>93</v>
      </c>
      <c r="G26" s="10" t="s">
        <v>60</v>
      </c>
      <c r="H26" s="7" t="str">
        <f>"000597"</f>
        <v>000597</v>
      </c>
      <c r="I26" s="6">
        <v>43186</v>
      </c>
      <c r="J26" s="7" t="str">
        <f>"000062"</f>
        <v>000062</v>
      </c>
      <c r="K26" s="6">
        <v>43259</v>
      </c>
      <c r="L26" s="7" t="str">
        <f>"000170"</f>
        <v>000170</v>
      </c>
      <c r="M26" s="6">
        <v>43281</v>
      </c>
      <c r="N26" s="7">
        <v>18</v>
      </c>
      <c r="O26" s="7" t="str">
        <f>"003476"</f>
        <v>003476</v>
      </c>
      <c r="P26" s="6">
        <v>43662</v>
      </c>
      <c r="Q26" s="11">
        <v>19.513999999999999</v>
      </c>
      <c r="R26" s="11">
        <v>2.2799999999999998</v>
      </c>
      <c r="S26" s="11">
        <v>17.234000000000002</v>
      </c>
      <c r="T26" s="7">
        <v>116</v>
      </c>
      <c r="U26" s="6">
        <v>43664</v>
      </c>
      <c r="V26" s="7">
        <v>9845996306</v>
      </c>
      <c r="W26" s="10" t="s">
        <v>94</v>
      </c>
      <c r="X26" s="7" t="s">
        <v>30</v>
      </c>
      <c r="Y26" s="10" t="s">
        <v>31</v>
      </c>
      <c r="Z26" s="7" t="s">
        <v>50</v>
      </c>
      <c r="AA26" s="10" t="s">
        <v>79</v>
      </c>
      <c r="AB26" s="11">
        <f t="shared" si="1"/>
        <v>0.19513999999999998</v>
      </c>
    </row>
    <row r="27" spans="1:28" x14ac:dyDescent="0.35">
      <c r="A27" s="4">
        <v>5722</v>
      </c>
      <c r="B27" s="5" t="s">
        <v>76</v>
      </c>
      <c r="C27" s="6">
        <v>43669</v>
      </c>
      <c r="D27" s="7">
        <v>184</v>
      </c>
      <c r="E27" s="8" t="s">
        <v>44</v>
      </c>
      <c r="F27" s="7" t="s">
        <v>95</v>
      </c>
      <c r="G27" s="10" t="s">
        <v>96</v>
      </c>
      <c r="H27" s="7" t="str">
        <f>"000a18"</f>
        <v>000a18</v>
      </c>
      <c r="I27" s="6">
        <v>42838</v>
      </c>
      <c r="J27" s="7" t="str">
        <f>"000026"</f>
        <v>000026</v>
      </c>
      <c r="K27" s="6">
        <v>43133</v>
      </c>
      <c r="L27" s="7" t="str">
        <f>"000057"</f>
        <v>000057</v>
      </c>
      <c r="M27" s="6">
        <v>43136</v>
      </c>
      <c r="N27" s="7">
        <v>17</v>
      </c>
      <c r="O27" s="7" t="str">
        <f>"003525"</f>
        <v>003525</v>
      </c>
      <c r="P27" s="6">
        <v>43663</v>
      </c>
      <c r="Q27" s="11">
        <v>9.66</v>
      </c>
      <c r="R27" s="11">
        <v>1.232</v>
      </c>
      <c r="S27" s="11">
        <v>8.4280000000000008</v>
      </c>
      <c r="T27" s="7">
        <v>122</v>
      </c>
      <c r="U27" s="6">
        <v>43669</v>
      </c>
      <c r="V27" s="7">
        <v>9538672091</v>
      </c>
      <c r="W27" s="10" t="s">
        <v>97</v>
      </c>
      <c r="X27" s="7" t="s">
        <v>30</v>
      </c>
      <c r="Y27" s="10" t="s">
        <v>31</v>
      </c>
      <c r="Z27" s="7" t="s">
        <v>50</v>
      </c>
      <c r="AA27" s="10" t="s">
        <v>79</v>
      </c>
      <c r="AB27" s="11">
        <f t="shared" si="1"/>
        <v>9.6600000000000005E-2</v>
      </c>
    </row>
    <row r="28" spans="1:28" x14ac:dyDescent="0.35">
      <c r="A28" s="4">
        <v>5723</v>
      </c>
      <c r="B28" s="5" t="s">
        <v>76</v>
      </c>
      <c r="C28" s="6">
        <v>43669</v>
      </c>
      <c r="D28" s="7">
        <v>184</v>
      </c>
      <c r="E28" s="8" t="s">
        <v>44</v>
      </c>
      <c r="F28" s="7" t="s">
        <v>98</v>
      </c>
      <c r="G28" s="10" t="s">
        <v>99</v>
      </c>
      <c r="H28" s="7" t="str">
        <f>"000019"</f>
        <v>000019</v>
      </c>
      <c r="I28" s="6">
        <v>42838</v>
      </c>
      <c r="J28" s="7" t="str">
        <f>"000027"</f>
        <v>000027</v>
      </c>
      <c r="K28" s="6">
        <v>43133</v>
      </c>
      <c r="L28" s="7" t="str">
        <f>"000059"</f>
        <v>000059</v>
      </c>
      <c r="M28" s="6">
        <v>43136</v>
      </c>
      <c r="N28" s="7">
        <v>17</v>
      </c>
      <c r="O28" s="7" t="str">
        <f>"003527"</f>
        <v>003527</v>
      </c>
      <c r="P28" s="6">
        <v>43663</v>
      </c>
      <c r="Q28" s="11">
        <v>9.7799999999999994</v>
      </c>
      <c r="R28" s="11">
        <v>1.2450000000000001</v>
      </c>
      <c r="S28" s="11">
        <v>8.5350000000000001</v>
      </c>
      <c r="T28" s="7">
        <v>122</v>
      </c>
      <c r="U28" s="6">
        <v>43669</v>
      </c>
      <c r="V28" s="7">
        <v>9538672091</v>
      </c>
      <c r="W28" s="10" t="s">
        <v>97</v>
      </c>
      <c r="X28" s="7" t="s">
        <v>30</v>
      </c>
      <c r="Y28" s="10" t="s">
        <v>31</v>
      </c>
      <c r="Z28" s="7" t="s">
        <v>50</v>
      </c>
      <c r="AA28" s="10" t="s">
        <v>79</v>
      </c>
      <c r="AB28" s="11">
        <f t="shared" si="1"/>
        <v>9.7799999999999998E-2</v>
      </c>
    </row>
    <row r="29" spans="1:28" x14ac:dyDescent="0.35">
      <c r="A29" s="4">
        <v>5724</v>
      </c>
      <c r="B29" s="5" t="s">
        <v>76</v>
      </c>
      <c r="C29" s="6">
        <v>43672</v>
      </c>
      <c r="D29" s="7">
        <v>184</v>
      </c>
      <c r="E29" s="8" t="s">
        <v>44</v>
      </c>
      <c r="F29" s="7" t="s">
        <v>100</v>
      </c>
      <c r="G29" s="10" t="s">
        <v>101</v>
      </c>
      <c r="H29" s="7" t="str">
        <f>"000145"</f>
        <v>000145</v>
      </c>
      <c r="I29" s="6">
        <v>43484</v>
      </c>
      <c r="J29" s="7" t="str">
        <f>"000003"</f>
        <v>000003</v>
      </c>
      <c r="K29" s="6">
        <v>43564</v>
      </c>
      <c r="L29" s="7" t="str">
        <f>"000038"</f>
        <v>000038</v>
      </c>
      <c r="M29" s="6">
        <v>43585</v>
      </c>
      <c r="N29" s="7">
        <v>19</v>
      </c>
      <c r="O29" s="7" t="str">
        <f>"003790"</f>
        <v>003790</v>
      </c>
      <c r="P29" s="6">
        <v>43665</v>
      </c>
      <c r="Q29" s="11">
        <v>98.947999999999993</v>
      </c>
      <c r="R29" s="11">
        <v>13.55602</v>
      </c>
      <c r="S29" s="11">
        <v>85.391980000000004</v>
      </c>
      <c r="T29" s="7">
        <v>127</v>
      </c>
      <c r="U29" s="6">
        <v>43672</v>
      </c>
      <c r="V29" s="7">
        <v>9036405669</v>
      </c>
      <c r="W29" s="10" t="s">
        <v>37</v>
      </c>
      <c r="X29" s="7" t="s">
        <v>35</v>
      </c>
      <c r="Y29" s="10" t="s">
        <v>36</v>
      </c>
      <c r="Z29" s="7" t="s">
        <v>50</v>
      </c>
      <c r="AA29" s="10" t="s">
        <v>79</v>
      </c>
      <c r="AB29" s="11">
        <f t="shared" si="1"/>
        <v>0.98947999999999992</v>
      </c>
    </row>
    <row r="30" spans="1:28" x14ac:dyDescent="0.35">
      <c r="A30" s="4">
        <v>5725</v>
      </c>
      <c r="B30" s="5" t="s">
        <v>76</v>
      </c>
      <c r="C30" s="6">
        <v>43677</v>
      </c>
      <c r="D30" s="7">
        <v>184</v>
      </c>
      <c r="E30" s="8" t="s">
        <v>44</v>
      </c>
      <c r="F30" s="7" t="s">
        <v>102</v>
      </c>
      <c r="G30" s="10" t="s">
        <v>103</v>
      </c>
      <c r="H30" s="7" t="str">
        <f>"000097"</f>
        <v>000097</v>
      </c>
      <c r="I30" s="6">
        <v>43047</v>
      </c>
      <c r="J30" s="7" t="str">
        <f>"000030"</f>
        <v>000030</v>
      </c>
      <c r="K30" s="6">
        <v>43146</v>
      </c>
      <c r="L30" s="7" t="str">
        <f>"000103"</f>
        <v>000103</v>
      </c>
      <c r="M30" s="6">
        <v>43159</v>
      </c>
      <c r="N30" s="7">
        <v>17</v>
      </c>
      <c r="O30" s="7" t="str">
        <f>"003981"</f>
        <v>003981</v>
      </c>
      <c r="P30" s="6">
        <v>43670</v>
      </c>
      <c r="Q30" s="11">
        <v>49.424900000000001</v>
      </c>
      <c r="R30" s="11">
        <v>7.2253999999999996</v>
      </c>
      <c r="S30" s="11">
        <v>42.1995</v>
      </c>
      <c r="T30" s="7">
        <v>135</v>
      </c>
      <c r="U30" s="6">
        <v>43677</v>
      </c>
      <c r="V30" s="7">
        <v>9620472616</v>
      </c>
      <c r="W30" s="10" t="s">
        <v>37</v>
      </c>
      <c r="X30" s="7" t="s">
        <v>104</v>
      </c>
      <c r="Y30" s="10" t="s">
        <v>105</v>
      </c>
      <c r="Z30" s="7" t="s">
        <v>50</v>
      </c>
      <c r="AA30" s="10" t="s">
        <v>79</v>
      </c>
      <c r="AB30" s="11">
        <f t="shared" si="1"/>
        <v>0.49424899999999999</v>
      </c>
    </row>
    <row r="31" spans="1:28" x14ac:dyDescent="0.35">
      <c r="A31" s="4">
        <v>5726</v>
      </c>
      <c r="B31" s="5" t="s">
        <v>106</v>
      </c>
      <c r="C31" s="6">
        <v>43685</v>
      </c>
      <c r="D31" s="7">
        <v>184</v>
      </c>
      <c r="E31" s="8" t="s">
        <v>44</v>
      </c>
      <c r="F31" s="7" t="s">
        <v>107</v>
      </c>
      <c r="G31" s="10" t="s">
        <v>108</v>
      </c>
      <c r="H31" s="7" t="str">
        <f>"000202"</f>
        <v>000202</v>
      </c>
      <c r="I31" s="6">
        <v>43105</v>
      </c>
      <c r="J31" s="7" t="str">
        <f>"000070"</f>
        <v>000070</v>
      </c>
      <c r="K31" s="6">
        <v>43297</v>
      </c>
      <c r="L31" s="7" t="str">
        <f>"000193"</f>
        <v>000193</v>
      </c>
      <c r="M31" s="6">
        <v>43312</v>
      </c>
      <c r="N31" s="7">
        <v>18</v>
      </c>
      <c r="O31" s="7" t="str">
        <f>"004261"</f>
        <v>004261</v>
      </c>
      <c r="P31" s="6">
        <v>43680</v>
      </c>
      <c r="Q31" s="11">
        <v>9.7970000000000006</v>
      </c>
      <c r="R31" s="11">
        <v>1.1668000000000001</v>
      </c>
      <c r="S31" s="11">
        <v>8.6302000000000003</v>
      </c>
      <c r="T31" s="7">
        <v>145</v>
      </c>
      <c r="U31" s="6">
        <v>43685</v>
      </c>
      <c r="V31" s="7">
        <v>9632545911</v>
      </c>
      <c r="W31" s="10" t="s">
        <v>109</v>
      </c>
      <c r="X31" s="7" t="s">
        <v>104</v>
      </c>
      <c r="Y31" s="10" t="s">
        <v>105</v>
      </c>
      <c r="Z31" s="7" t="s">
        <v>50</v>
      </c>
      <c r="AA31" s="10" t="s">
        <v>79</v>
      </c>
      <c r="AB31" s="11">
        <f t="shared" si="1"/>
        <v>9.7970000000000002E-2</v>
      </c>
    </row>
    <row r="32" spans="1:28" x14ac:dyDescent="0.35">
      <c r="A32" s="4">
        <v>5727</v>
      </c>
      <c r="B32" s="5" t="s">
        <v>106</v>
      </c>
      <c r="C32" s="6">
        <v>43696</v>
      </c>
      <c r="D32" s="7">
        <v>184</v>
      </c>
      <c r="E32" s="8" t="s">
        <v>44</v>
      </c>
      <c r="F32" s="7" t="s">
        <v>110</v>
      </c>
      <c r="G32" s="10" t="s">
        <v>111</v>
      </c>
      <c r="H32" s="7" t="str">
        <f>"000096"</f>
        <v>000096</v>
      </c>
      <c r="I32" s="6">
        <v>43047</v>
      </c>
      <c r="J32" s="7" t="str">
        <f>"000029"</f>
        <v>000029</v>
      </c>
      <c r="K32" s="6">
        <v>43146</v>
      </c>
      <c r="L32" s="7" t="str">
        <f>"000104"</f>
        <v>000104</v>
      </c>
      <c r="M32" s="6">
        <v>43159</v>
      </c>
      <c r="N32" s="7">
        <v>17</v>
      </c>
      <c r="O32" s="7" t="str">
        <f>"004383"</f>
        <v>004383</v>
      </c>
      <c r="P32" s="6">
        <v>43686</v>
      </c>
      <c r="Q32" s="11">
        <v>49.633499999999998</v>
      </c>
      <c r="R32" s="11">
        <v>7.2480000000000002</v>
      </c>
      <c r="S32" s="11">
        <v>42.3855</v>
      </c>
      <c r="T32" s="7">
        <v>158</v>
      </c>
      <c r="U32" s="6">
        <v>43696</v>
      </c>
      <c r="V32" s="7">
        <v>9620472616</v>
      </c>
      <c r="W32" s="10" t="s">
        <v>37</v>
      </c>
      <c r="X32" s="7" t="s">
        <v>104</v>
      </c>
      <c r="Y32" s="10" t="s">
        <v>105</v>
      </c>
      <c r="Z32" s="7" t="s">
        <v>50</v>
      </c>
      <c r="AA32" s="10" t="s">
        <v>79</v>
      </c>
      <c r="AB32" s="11">
        <f t="shared" si="1"/>
        <v>0.49633499999999997</v>
      </c>
    </row>
    <row r="33" spans="1:28" x14ac:dyDescent="0.35">
      <c r="A33" s="4">
        <v>5728</v>
      </c>
      <c r="B33" s="5" t="s">
        <v>106</v>
      </c>
      <c r="C33" s="6">
        <v>43705</v>
      </c>
      <c r="D33" s="7">
        <v>184</v>
      </c>
      <c r="E33" s="8" t="s">
        <v>44</v>
      </c>
      <c r="F33" s="7" t="s">
        <v>112</v>
      </c>
      <c r="G33" s="10" t="s">
        <v>113</v>
      </c>
      <c r="H33" s="7" t="str">
        <f>"000023"</f>
        <v>000023</v>
      </c>
      <c r="I33" s="6">
        <v>42838</v>
      </c>
      <c r="J33" s="7" t="str">
        <f>"000053"</f>
        <v>000053</v>
      </c>
      <c r="K33" s="6">
        <v>43161</v>
      </c>
      <c r="L33" s="7" t="str">
        <f>"000101"</f>
        <v>000101</v>
      </c>
      <c r="M33" s="6">
        <v>43250</v>
      </c>
      <c r="N33" s="7">
        <v>17</v>
      </c>
      <c r="O33" s="7" t="str">
        <f>"004678"</f>
        <v>004678</v>
      </c>
      <c r="P33" s="6">
        <v>43698</v>
      </c>
      <c r="Q33" s="11">
        <v>15.989000000000001</v>
      </c>
      <c r="R33" s="11">
        <v>1.3915</v>
      </c>
      <c r="S33" s="11">
        <v>14.5975</v>
      </c>
      <c r="T33" s="7">
        <v>171</v>
      </c>
      <c r="U33" s="6">
        <v>43705</v>
      </c>
      <c r="V33" s="7">
        <v>9845752097</v>
      </c>
      <c r="W33" s="10" t="s">
        <v>97</v>
      </c>
      <c r="X33" s="7" t="s">
        <v>114</v>
      </c>
      <c r="Y33" s="10" t="s">
        <v>115</v>
      </c>
      <c r="Z33" s="7" t="s">
        <v>50</v>
      </c>
      <c r="AA33" s="10" t="s">
        <v>79</v>
      </c>
      <c r="AB33" s="11">
        <f t="shared" si="1"/>
        <v>0.15989</v>
      </c>
    </row>
    <row r="34" spans="1:28" x14ac:dyDescent="0.35">
      <c r="A34" s="4">
        <v>5729</v>
      </c>
      <c r="B34" s="5" t="s">
        <v>116</v>
      </c>
      <c r="C34" s="6">
        <v>43719</v>
      </c>
      <c r="D34" s="7">
        <v>184</v>
      </c>
      <c r="E34" s="8" t="s">
        <v>44</v>
      </c>
      <c r="F34" s="7" t="s">
        <v>117</v>
      </c>
      <c r="G34" s="10" t="s">
        <v>118</v>
      </c>
      <c r="H34" s="7" t="str">
        <f>"000147"</f>
        <v>000147</v>
      </c>
      <c r="I34" s="6">
        <v>43484</v>
      </c>
      <c r="J34" s="7" t="str">
        <f>"000030"</f>
        <v>000030</v>
      </c>
      <c r="K34" s="6">
        <v>43647</v>
      </c>
      <c r="L34" s="7" t="str">
        <f>"000110"</f>
        <v>000110</v>
      </c>
      <c r="M34" s="6">
        <v>43662</v>
      </c>
      <c r="N34" s="7">
        <v>19</v>
      </c>
      <c r="O34" s="7" t="str">
        <f>"004562"</f>
        <v>004562</v>
      </c>
      <c r="P34" s="6">
        <v>43694</v>
      </c>
      <c r="Q34" s="11">
        <v>98.98</v>
      </c>
      <c r="R34" s="11">
        <v>12.8916</v>
      </c>
      <c r="S34" s="11">
        <v>86.088399999999993</v>
      </c>
      <c r="T34" s="7">
        <v>181</v>
      </c>
      <c r="U34" s="6">
        <v>43719</v>
      </c>
      <c r="V34" s="7">
        <v>9036405669</v>
      </c>
      <c r="W34" s="10" t="s">
        <v>37</v>
      </c>
      <c r="X34" s="7" t="s">
        <v>35</v>
      </c>
      <c r="Y34" s="10" t="s">
        <v>36</v>
      </c>
      <c r="Z34" s="7" t="s">
        <v>50</v>
      </c>
      <c r="AA34" s="10" t="s">
        <v>79</v>
      </c>
      <c r="AB34" s="11">
        <f t="shared" si="1"/>
        <v>0.98980000000000001</v>
      </c>
    </row>
    <row r="35" spans="1:28" x14ac:dyDescent="0.35">
      <c r="A35" s="4">
        <v>5730</v>
      </c>
      <c r="B35" s="5" t="s">
        <v>116</v>
      </c>
      <c r="C35" s="6">
        <v>43719</v>
      </c>
      <c r="D35" s="7">
        <v>184</v>
      </c>
      <c r="E35" s="8" t="s">
        <v>44</v>
      </c>
      <c r="F35" s="7" t="s">
        <v>119</v>
      </c>
      <c r="G35" s="10" t="s">
        <v>120</v>
      </c>
      <c r="H35" s="7" t="str">
        <f>"000149"</f>
        <v>000149</v>
      </c>
      <c r="I35" s="6">
        <v>43484</v>
      </c>
      <c r="J35" s="7" t="str">
        <f>"000029"</f>
        <v>000029</v>
      </c>
      <c r="K35" s="6">
        <v>43647</v>
      </c>
      <c r="L35" s="7" t="str">
        <f>"000109"</f>
        <v>000109</v>
      </c>
      <c r="M35" s="6">
        <v>43662</v>
      </c>
      <c r="N35" s="7">
        <v>19</v>
      </c>
      <c r="O35" s="7" t="str">
        <f>"004563"</f>
        <v>004563</v>
      </c>
      <c r="P35" s="6">
        <v>43694</v>
      </c>
      <c r="Q35" s="11">
        <v>54.23</v>
      </c>
      <c r="R35" s="11">
        <v>7.1464999999999996</v>
      </c>
      <c r="S35" s="11">
        <v>47.083500000000001</v>
      </c>
      <c r="T35" s="7">
        <v>181</v>
      </c>
      <c r="U35" s="6">
        <v>43719</v>
      </c>
      <c r="V35" s="7">
        <v>9036405669</v>
      </c>
      <c r="W35" s="10" t="s">
        <v>37</v>
      </c>
      <c r="X35" s="7" t="s">
        <v>35</v>
      </c>
      <c r="Y35" s="10" t="s">
        <v>36</v>
      </c>
      <c r="Z35" s="7" t="s">
        <v>50</v>
      </c>
      <c r="AA35" s="10" t="s">
        <v>79</v>
      </c>
      <c r="AB35" s="11">
        <f t="shared" si="1"/>
        <v>0.5423</v>
      </c>
    </row>
    <row r="36" spans="1:28" x14ac:dyDescent="0.35">
      <c r="A36" s="4">
        <v>5731</v>
      </c>
      <c r="B36" s="5" t="s">
        <v>116</v>
      </c>
      <c r="C36" s="6">
        <v>43721</v>
      </c>
      <c r="D36" s="7">
        <v>184</v>
      </c>
      <c r="E36" s="8" t="s">
        <v>44</v>
      </c>
      <c r="F36" s="7" t="s">
        <v>121</v>
      </c>
      <c r="G36" s="10" t="s">
        <v>122</v>
      </c>
      <c r="H36" s="7" t="str">
        <f>"000004"</f>
        <v>000004</v>
      </c>
      <c r="I36" s="6">
        <v>43623</v>
      </c>
      <c r="J36" s="7" t="str">
        <f>"000057"</f>
        <v>000057</v>
      </c>
      <c r="K36" s="6">
        <v>43717</v>
      </c>
      <c r="L36" s="7" t="str">
        <f>"000164"</f>
        <v>000164</v>
      </c>
      <c r="M36" s="6">
        <v>43719</v>
      </c>
      <c r="N36" s="7">
        <v>20</v>
      </c>
      <c r="O36" s="7" t="str">
        <f>"005126"</f>
        <v>005126</v>
      </c>
      <c r="P36" s="6">
        <v>43721</v>
      </c>
      <c r="Q36" s="11">
        <v>99.299499999999995</v>
      </c>
      <c r="R36" s="11">
        <v>4.2154999999999996</v>
      </c>
      <c r="S36" s="11">
        <v>95.084000000000003</v>
      </c>
      <c r="T36" s="7">
        <v>187</v>
      </c>
      <c r="U36" s="6">
        <v>43721</v>
      </c>
      <c r="V36" s="7">
        <v>9845057449</v>
      </c>
      <c r="W36" s="10" t="s">
        <v>47</v>
      </c>
      <c r="X36" s="7" t="s">
        <v>48</v>
      </c>
      <c r="Y36" s="10" t="s">
        <v>49</v>
      </c>
      <c r="Z36" s="7" t="s">
        <v>50</v>
      </c>
      <c r="AA36" s="10" t="s">
        <v>79</v>
      </c>
      <c r="AB36" s="11">
        <f t="shared" si="1"/>
        <v>0.99299499999999996</v>
      </c>
    </row>
    <row r="37" spans="1:28" x14ac:dyDescent="0.35">
      <c r="A37" s="4">
        <v>5732</v>
      </c>
      <c r="B37" s="5" t="s">
        <v>116</v>
      </c>
      <c r="C37" s="6">
        <v>43729</v>
      </c>
      <c r="D37" s="7">
        <v>184</v>
      </c>
      <c r="E37" s="8" t="s">
        <v>44</v>
      </c>
      <c r="F37" s="7" t="s">
        <v>123</v>
      </c>
      <c r="G37" s="10" t="s">
        <v>124</v>
      </c>
      <c r="H37" s="7" t="str">
        <f>"000070"</f>
        <v>000070</v>
      </c>
      <c r="I37" s="6">
        <v>43025</v>
      </c>
      <c r="J37" s="7" t="str">
        <f>"000008"</f>
        <v>000008</v>
      </c>
      <c r="K37" s="6">
        <v>43074</v>
      </c>
      <c r="L37" s="7" t="str">
        <f>"000067"</f>
        <v>000067</v>
      </c>
      <c r="M37" s="6">
        <v>43140</v>
      </c>
      <c r="N37" s="7">
        <v>18</v>
      </c>
      <c r="O37" s="7" t="str">
        <f>"004955"</f>
        <v>004955</v>
      </c>
      <c r="P37" s="6">
        <v>43717</v>
      </c>
      <c r="Q37" s="11">
        <v>49.95</v>
      </c>
      <c r="R37" s="11">
        <v>7.1772099999999996</v>
      </c>
      <c r="S37" s="11">
        <v>42.772790000000001</v>
      </c>
      <c r="T37" s="7">
        <v>194</v>
      </c>
      <c r="U37" s="6">
        <v>43729</v>
      </c>
      <c r="V37" s="7">
        <v>9845183166</v>
      </c>
      <c r="W37" s="10" t="s">
        <v>37</v>
      </c>
      <c r="X37" s="7" t="s">
        <v>104</v>
      </c>
      <c r="Y37" s="10" t="s">
        <v>105</v>
      </c>
      <c r="Z37" s="7" t="s">
        <v>50</v>
      </c>
      <c r="AA37" s="10" t="s">
        <v>79</v>
      </c>
      <c r="AB37" s="11">
        <f t="shared" si="1"/>
        <v>0.49950000000000006</v>
      </c>
    </row>
    <row r="38" spans="1:28" x14ac:dyDescent="0.35">
      <c r="A38" s="4">
        <v>5733</v>
      </c>
      <c r="B38" s="5" t="s">
        <v>116</v>
      </c>
      <c r="C38" s="6">
        <v>43729</v>
      </c>
      <c r="D38" s="7">
        <v>184</v>
      </c>
      <c r="E38" s="8" t="s">
        <v>44</v>
      </c>
      <c r="F38" s="7" t="s">
        <v>125</v>
      </c>
      <c r="G38" s="10" t="s">
        <v>126</v>
      </c>
      <c r="H38" s="7" t="str">
        <f>"000073"</f>
        <v>000073</v>
      </c>
      <c r="I38" s="6">
        <v>43025</v>
      </c>
      <c r="J38" s="7" t="str">
        <f>"000009"</f>
        <v>000009</v>
      </c>
      <c r="K38" s="6">
        <v>43074</v>
      </c>
      <c r="L38" s="7" t="str">
        <f>"000069"</f>
        <v>000069</v>
      </c>
      <c r="M38" s="6">
        <v>43140</v>
      </c>
      <c r="N38" s="7">
        <v>18</v>
      </c>
      <c r="O38" s="7" t="str">
        <f>"004956"</f>
        <v>004956</v>
      </c>
      <c r="P38" s="6">
        <v>43717</v>
      </c>
      <c r="Q38" s="11">
        <v>49.99</v>
      </c>
      <c r="R38" s="11">
        <v>7.1819800000000003</v>
      </c>
      <c r="S38" s="11">
        <v>42.808019999999999</v>
      </c>
      <c r="T38" s="7">
        <v>194</v>
      </c>
      <c r="U38" s="6">
        <v>43729</v>
      </c>
      <c r="V38" s="7">
        <v>9845183166</v>
      </c>
      <c r="W38" s="10" t="s">
        <v>37</v>
      </c>
      <c r="X38" s="7" t="s">
        <v>104</v>
      </c>
      <c r="Y38" s="10" t="s">
        <v>105</v>
      </c>
      <c r="Z38" s="7" t="s">
        <v>50</v>
      </c>
      <c r="AA38" s="10" t="s">
        <v>79</v>
      </c>
      <c r="AB38" s="11">
        <f t="shared" si="1"/>
        <v>0.49990000000000001</v>
      </c>
    </row>
    <row r="39" spans="1:28" x14ac:dyDescent="0.35">
      <c r="A39" s="4">
        <v>5734</v>
      </c>
      <c r="B39" s="5" t="s">
        <v>116</v>
      </c>
      <c r="C39" s="6">
        <v>43729</v>
      </c>
      <c r="D39" s="7">
        <v>184</v>
      </c>
      <c r="E39" s="8" t="s">
        <v>44</v>
      </c>
      <c r="F39" s="7" t="s">
        <v>127</v>
      </c>
      <c r="G39" s="10" t="s">
        <v>128</v>
      </c>
      <c r="H39" s="7" t="str">
        <f>"000072"</f>
        <v>000072</v>
      </c>
      <c r="I39" s="6">
        <v>43025</v>
      </c>
      <c r="J39" s="7" t="str">
        <f>"000011"</f>
        <v>000011</v>
      </c>
      <c r="K39" s="6">
        <v>43080</v>
      </c>
      <c r="L39" s="7" t="str">
        <f>"000162"</f>
        <v>000162</v>
      </c>
      <c r="M39" s="6">
        <v>43187</v>
      </c>
      <c r="N39" s="7">
        <v>18</v>
      </c>
      <c r="O39" s="7" t="str">
        <f>"004957"</f>
        <v>004957</v>
      </c>
      <c r="P39" s="6">
        <v>43717</v>
      </c>
      <c r="Q39" s="11">
        <v>49.96</v>
      </c>
      <c r="R39" s="11">
        <v>7.1783400000000004</v>
      </c>
      <c r="S39" s="11">
        <v>42.781660000000002</v>
      </c>
      <c r="T39" s="7">
        <v>194</v>
      </c>
      <c r="U39" s="6">
        <v>43729</v>
      </c>
      <c r="V39" s="7">
        <v>9845183166</v>
      </c>
      <c r="W39" s="10" t="s">
        <v>37</v>
      </c>
      <c r="X39" s="7" t="s">
        <v>104</v>
      </c>
      <c r="Y39" s="10" t="s">
        <v>105</v>
      </c>
      <c r="Z39" s="7" t="s">
        <v>50</v>
      </c>
      <c r="AA39" s="10" t="s">
        <v>79</v>
      </c>
      <c r="AB39" s="11">
        <f t="shared" si="1"/>
        <v>0.49959999999999999</v>
      </c>
    </row>
    <row r="40" spans="1:28" x14ac:dyDescent="0.35">
      <c r="A40" s="4">
        <v>5735</v>
      </c>
      <c r="B40" s="5" t="s">
        <v>116</v>
      </c>
      <c r="C40" s="6">
        <v>43732</v>
      </c>
      <c r="D40" s="7">
        <v>184</v>
      </c>
      <c r="E40" s="8" t="s">
        <v>44</v>
      </c>
      <c r="F40" s="7" t="s">
        <v>129</v>
      </c>
      <c r="G40" s="10" t="s">
        <v>130</v>
      </c>
      <c r="H40" s="7" t="str">
        <f>"000067"</f>
        <v>000067</v>
      </c>
      <c r="I40" s="6">
        <v>43025</v>
      </c>
      <c r="J40" s="7" t="str">
        <f>"000007"</f>
        <v>000007</v>
      </c>
      <c r="K40" s="6">
        <v>43074</v>
      </c>
      <c r="L40" s="7" t="str">
        <f>"000161"</f>
        <v>000161</v>
      </c>
      <c r="M40" s="6">
        <v>43187</v>
      </c>
      <c r="N40" s="7">
        <v>18</v>
      </c>
      <c r="O40" s="7" t="str">
        <f>"005283"</f>
        <v>005283</v>
      </c>
      <c r="P40" s="6">
        <v>43728</v>
      </c>
      <c r="Q40" s="11">
        <v>49.96</v>
      </c>
      <c r="R40" s="11">
        <v>7.1873399999999998</v>
      </c>
      <c r="S40" s="11">
        <v>42.772660000000002</v>
      </c>
      <c r="T40" s="7">
        <v>199</v>
      </c>
      <c r="U40" s="6">
        <v>43732</v>
      </c>
      <c r="V40" s="7">
        <v>9845183166</v>
      </c>
      <c r="W40" s="10" t="s">
        <v>37</v>
      </c>
      <c r="X40" s="7" t="s">
        <v>104</v>
      </c>
      <c r="Y40" s="10" t="s">
        <v>105</v>
      </c>
      <c r="Z40" s="7" t="s">
        <v>50</v>
      </c>
      <c r="AA40" s="10" t="s">
        <v>79</v>
      </c>
      <c r="AB40" s="11">
        <f t="shared" si="1"/>
        <v>0.49959999999999999</v>
      </c>
    </row>
    <row r="41" spans="1:28" x14ac:dyDescent="0.35">
      <c r="A41" s="4">
        <v>5736</v>
      </c>
      <c r="B41" s="5" t="s">
        <v>116</v>
      </c>
      <c r="C41" s="6">
        <v>43732</v>
      </c>
      <c r="D41" s="7">
        <v>184</v>
      </c>
      <c r="E41" s="8" t="s">
        <v>44</v>
      </c>
      <c r="F41" s="7" t="s">
        <v>131</v>
      </c>
      <c r="G41" s="10" t="s">
        <v>132</v>
      </c>
      <c r="H41" s="7" t="str">
        <f>"000141"</f>
        <v>000141</v>
      </c>
      <c r="I41" s="6">
        <v>43081</v>
      </c>
      <c r="J41" s="7" t="str">
        <f>"000067"</f>
        <v>000067</v>
      </c>
      <c r="K41" s="6">
        <v>43187</v>
      </c>
      <c r="L41" s="7" t="str">
        <f>"000165"</f>
        <v>000165</v>
      </c>
      <c r="M41" s="6">
        <v>43187</v>
      </c>
      <c r="N41" s="7">
        <v>18</v>
      </c>
      <c r="O41" s="7" t="str">
        <f>"005284"</f>
        <v>005284</v>
      </c>
      <c r="P41" s="6">
        <v>43728</v>
      </c>
      <c r="Q41" s="11">
        <v>49.94</v>
      </c>
      <c r="R41" s="11">
        <v>7.1760799999999998</v>
      </c>
      <c r="S41" s="11">
        <v>42.763919999999999</v>
      </c>
      <c r="T41" s="7">
        <v>199</v>
      </c>
      <c r="U41" s="6">
        <v>43732</v>
      </c>
      <c r="V41" s="7">
        <v>9845183166</v>
      </c>
      <c r="W41" s="10" t="s">
        <v>37</v>
      </c>
      <c r="X41" s="7" t="s">
        <v>104</v>
      </c>
      <c r="Y41" s="10" t="s">
        <v>105</v>
      </c>
      <c r="Z41" s="7" t="s">
        <v>50</v>
      </c>
      <c r="AA41" s="10" t="s">
        <v>79</v>
      </c>
      <c r="AB41" s="11">
        <f t="shared" si="1"/>
        <v>0.49939999999999996</v>
      </c>
    </row>
    <row r="42" spans="1:28" x14ac:dyDescent="0.35">
      <c r="A42" s="4">
        <v>5737</v>
      </c>
      <c r="B42" s="5" t="s">
        <v>140</v>
      </c>
      <c r="C42" s="6">
        <v>43757</v>
      </c>
      <c r="D42" s="4">
        <v>184</v>
      </c>
      <c r="E42" s="8" t="s">
        <v>44</v>
      </c>
      <c r="F42" s="7" t="s">
        <v>141</v>
      </c>
      <c r="G42" s="8" t="s">
        <v>142</v>
      </c>
      <c r="H42" s="7" t="str">
        <f>"000124"</f>
        <v>000124</v>
      </c>
      <c r="I42" s="6">
        <v>43076</v>
      </c>
      <c r="J42" s="7" t="str">
        <f>"000001"</f>
        <v>000001</v>
      </c>
      <c r="K42" s="6">
        <v>43195</v>
      </c>
      <c r="L42" s="7" t="str">
        <f>"000027"</f>
        <v>000027</v>
      </c>
      <c r="M42" s="6">
        <v>43220</v>
      </c>
      <c r="N42" s="7">
        <v>17</v>
      </c>
      <c r="O42" s="7" t="str">
        <f>"005582"</f>
        <v>005582</v>
      </c>
      <c r="P42" s="6">
        <v>43739</v>
      </c>
      <c r="Q42" s="9">
        <v>15.438000000000001</v>
      </c>
      <c r="R42" s="9">
        <v>1.8894</v>
      </c>
      <c r="S42" s="9">
        <v>13.5486</v>
      </c>
      <c r="T42" s="7">
        <v>13</v>
      </c>
      <c r="U42" s="6">
        <v>43757</v>
      </c>
      <c r="V42" s="7">
        <v>9845488799</v>
      </c>
      <c r="W42" s="8" t="s">
        <v>143</v>
      </c>
      <c r="X42" s="7" t="s">
        <v>104</v>
      </c>
      <c r="Y42" s="8" t="s">
        <v>105</v>
      </c>
      <c r="Z42" s="7" t="s">
        <v>50</v>
      </c>
      <c r="AA42" s="8" t="s">
        <v>79</v>
      </c>
      <c r="AB42" s="9">
        <v>0.15438000000000002</v>
      </c>
    </row>
    <row r="43" spans="1:28" x14ac:dyDescent="0.35">
      <c r="A43" s="4">
        <v>5738</v>
      </c>
      <c r="B43" s="5" t="s">
        <v>140</v>
      </c>
      <c r="C43" s="6">
        <v>43757</v>
      </c>
      <c r="D43" s="4">
        <v>184</v>
      </c>
      <c r="E43" s="8" t="s">
        <v>44</v>
      </c>
      <c r="F43" s="7" t="s">
        <v>144</v>
      </c>
      <c r="G43" s="8" t="s">
        <v>145</v>
      </c>
      <c r="H43" s="7" t="str">
        <f>"000125"</f>
        <v>000125</v>
      </c>
      <c r="I43" s="6">
        <v>43076</v>
      </c>
      <c r="J43" s="7" t="str">
        <f>"000002"</f>
        <v>000002</v>
      </c>
      <c r="K43" s="6">
        <v>43195</v>
      </c>
      <c r="L43" s="7" t="str">
        <f>"000028"</f>
        <v>000028</v>
      </c>
      <c r="M43" s="6">
        <v>43220</v>
      </c>
      <c r="N43" s="7">
        <v>17</v>
      </c>
      <c r="O43" s="7" t="str">
        <f>"005591"</f>
        <v>005591</v>
      </c>
      <c r="P43" s="6">
        <v>43739</v>
      </c>
      <c r="Q43" s="9">
        <v>15.4375</v>
      </c>
      <c r="R43" s="9">
        <v>1.9554</v>
      </c>
      <c r="S43" s="9">
        <v>13.482100000000001</v>
      </c>
      <c r="T43" s="7">
        <v>13</v>
      </c>
      <c r="U43" s="6">
        <v>43757</v>
      </c>
      <c r="V43" s="7">
        <v>9845488799</v>
      </c>
      <c r="W43" s="8" t="s">
        <v>146</v>
      </c>
      <c r="X43" s="7" t="s">
        <v>104</v>
      </c>
      <c r="Y43" s="8" t="s">
        <v>105</v>
      </c>
      <c r="Z43" s="7" t="s">
        <v>50</v>
      </c>
      <c r="AA43" s="8" t="s">
        <v>79</v>
      </c>
      <c r="AB43" s="9">
        <v>0.15437500000000001</v>
      </c>
    </row>
    <row r="44" spans="1:28" x14ac:dyDescent="0.35">
      <c r="A44" s="4">
        <v>5739</v>
      </c>
      <c r="B44" s="5" t="s">
        <v>140</v>
      </c>
      <c r="C44" s="6">
        <v>43757</v>
      </c>
      <c r="D44" s="4">
        <v>184</v>
      </c>
      <c r="E44" s="8" t="s">
        <v>44</v>
      </c>
      <c r="F44" s="7" t="s">
        <v>147</v>
      </c>
      <c r="G44" s="8" t="s">
        <v>148</v>
      </c>
      <c r="H44" s="7" t="str">
        <f>"000113"</f>
        <v>000113</v>
      </c>
      <c r="I44" s="6">
        <v>43064</v>
      </c>
      <c r="J44" s="7" t="str">
        <f>"000074"</f>
        <v>000074</v>
      </c>
      <c r="K44" s="6">
        <v>43311</v>
      </c>
      <c r="L44" s="7" t="str">
        <f>"000229"</f>
        <v>000229</v>
      </c>
      <c r="M44" s="6">
        <v>43355</v>
      </c>
      <c r="N44" s="7">
        <v>18</v>
      </c>
      <c r="O44" s="7" t="str">
        <f>"005796"</f>
        <v>005796</v>
      </c>
      <c r="P44" s="6">
        <v>43755</v>
      </c>
      <c r="Q44" s="9">
        <v>14.94</v>
      </c>
      <c r="R44" s="9">
        <v>1.9005000000000001</v>
      </c>
      <c r="S44" s="9">
        <v>13.0395</v>
      </c>
      <c r="T44" s="7">
        <v>13</v>
      </c>
      <c r="U44" s="6">
        <v>43757</v>
      </c>
      <c r="V44" s="7">
        <v>8088393999</v>
      </c>
      <c r="W44" s="8" t="s">
        <v>37</v>
      </c>
      <c r="X44" s="7" t="s">
        <v>104</v>
      </c>
      <c r="Y44" s="8" t="s">
        <v>105</v>
      </c>
      <c r="Z44" s="7" t="s">
        <v>50</v>
      </c>
      <c r="AA44" s="8" t="s">
        <v>79</v>
      </c>
      <c r="AB44" s="9">
        <v>0.14940000000000001</v>
      </c>
    </row>
    <row r="45" spans="1:28" x14ac:dyDescent="0.35">
      <c r="A45" s="4">
        <v>5740</v>
      </c>
      <c r="B45" s="5" t="s">
        <v>140</v>
      </c>
      <c r="C45" s="6">
        <v>43757</v>
      </c>
      <c r="D45" s="4">
        <v>184</v>
      </c>
      <c r="E45" s="8" t="s">
        <v>44</v>
      </c>
      <c r="F45" s="7" t="s">
        <v>149</v>
      </c>
      <c r="G45" s="8" t="s">
        <v>150</v>
      </c>
      <c r="H45" s="7" t="str">
        <f>"000142"</f>
        <v>000142</v>
      </c>
      <c r="I45" s="6">
        <v>43081</v>
      </c>
      <c r="J45" s="7" t="str">
        <f>"000073"</f>
        <v>000073</v>
      </c>
      <c r="K45" s="6">
        <v>43311</v>
      </c>
      <c r="L45" s="7" t="str">
        <f>"000230"</f>
        <v>000230</v>
      </c>
      <c r="M45" s="6">
        <v>43355</v>
      </c>
      <c r="N45" s="7">
        <v>18</v>
      </c>
      <c r="O45" s="7" t="str">
        <f>"005797"</f>
        <v>005797</v>
      </c>
      <c r="P45" s="6">
        <v>43755</v>
      </c>
      <c r="Q45" s="9">
        <v>24.8</v>
      </c>
      <c r="R45" s="9">
        <v>3.1478999999999999</v>
      </c>
      <c r="S45" s="9">
        <v>21.652100000000001</v>
      </c>
      <c r="T45" s="7">
        <v>13</v>
      </c>
      <c r="U45" s="6">
        <v>43757</v>
      </c>
      <c r="V45" s="7">
        <v>8088393999</v>
      </c>
      <c r="W45" s="8" t="s">
        <v>37</v>
      </c>
      <c r="X45" s="7" t="s">
        <v>104</v>
      </c>
      <c r="Y45" s="8" t="s">
        <v>105</v>
      </c>
      <c r="Z45" s="7" t="s">
        <v>50</v>
      </c>
      <c r="AA45" s="8" t="s">
        <v>79</v>
      </c>
      <c r="AB45" s="9">
        <v>0.248</v>
      </c>
    </row>
    <row r="46" spans="1:28" x14ac:dyDescent="0.35">
      <c r="A46" s="4">
        <v>5741</v>
      </c>
      <c r="B46" s="5" t="s">
        <v>140</v>
      </c>
      <c r="C46" s="6">
        <v>43762</v>
      </c>
      <c r="D46" s="4">
        <v>184</v>
      </c>
      <c r="E46" s="8" t="s">
        <v>44</v>
      </c>
      <c r="F46" s="7" t="s">
        <v>151</v>
      </c>
      <c r="G46" s="8" t="s">
        <v>152</v>
      </c>
      <c r="H46" s="7" t="str">
        <f>"000419"</f>
        <v>000419</v>
      </c>
      <c r="I46" s="6">
        <v>43166</v>
      </c>
      <c r="J46" s="7" t="str">
        <f>"000008"</f>
        <v>000008</v>
      </c>
      <c r="K46" s="6">
        <v>43215</v>
      </c>
      <c r="L46" s="7" t="str">
        <f>"000034"</f>
        <v>000034</v>
      </c>
      <c r="M46" s="6">
        <v>43220</v>
      </c>
      <c r="N46" s="7">
        <v>17</v>
      </c>
      <c r="O46" s="7" t="str">
        <f>"005865"</f>
        <v>005865</v>
      </c>
      <c r="P46" s="6">
        <v>43757</v>
      </c>
      <c r="Q46" s="9">
        <v>44.989600000000003</v>
      </c>
      <c r="R46" s="9">
        <v>5.6398999999999999</v>
      </c>
      <c r="S46" s="9">
        <v>39.349699999999999</v>
      </c>
      <c r="T46" s="7">
        <v>13</v>
      </c>
      <c r="U46" s="6">
        <v>43762</v>
      </c>
      <c r="V46" s="7">
        <v>9448038643</v>
      </c>
      <c r="W46" s="8" t="s">
        <v>37</v>
      </c>
      <c r="X46" s="7" t="s">
        <v>153</v>
      </c>
      <c r="Y46" s="8" t="s">
        <v>154</v>
      </c>
      <c r="Z46" s="7" t="s">
        <v>50</v>
      </c>
      <c r="AA46" s="8" t="s">
        <v>79</v>
      </c>
      <c r="AB46" s="9">
        <v>0.44989600000000002</v>
      </c>
    </row>
    <row r="47" spans="1:28" x14ac:dyDescent="0.35">
      <c r="A47" s="4">
        <v>5742</v>
      </c>
      <c r="B47" s="5" t="s">
        <v>155</v>
      </c>
      <c r="C47" s="6">
        <v>43787</v>
      </c>
      <c r="D47" s="4">
        <v>184</v>
      </c>
      <c r="E47" s="8" t="s">
        <v>44</v>
      </c>
      <c r="F47" s="7" t="s">
        <v>156</v>
      </c>
      <c r="G47" s="8" t="s">
        <v>157</v>
      </c>
      <c r="H47" s="7" t="str">
        <f>"000207"</f>
        <v>000207</v>
      </c>
      <c r="I47" s="6">
        <v>43524</v>
      </c>
      <c r="J47" s="7" t="str">
        <f>"000031"</f>
        <v>000031</v>
      </c>
      <c r="K47" s="6">
        <v>43651</v>
      </c>
      <c r="L47" s="7" t="str">
        <f>"000137"</f>
        <v>000137</v>
      </c>
      <c r="M47" s="6">
        <v>43697</v>
      </c>
      <c r="N47" s="7">
        <v>19</v>
      </c>
      <c r="O47" s="7" t="str">
        <f>"006190"</f>
        <v>006190</v>
      </c>
      <c r="P47" s="6">
        <v>43781</v>
      </c>
      <c r="Q47" s="9">
        <v>198.25</v>
      </c>
      <c r="R47" s="9">
        <v>27.584379999999999</v>
      </c>
      <c r="S47" s="9">
        <v>170.66561999999999</v>
      </c>
      <c r="T47" s="7">
        <v>13</v>
      </c>
      <c r="U47" s="6">
        <v>43787</v>
      </c>
      <c r="V47" s="7">
        <v>9845154892</v>
      </c>
      <c r="W47" s="8" t="s">
        <v>37</v>
      </c>
      <c r="X47" s="7" t="s">
        <v>153</v>
      </c>
      <c r="Y47" s="8" t="s">
        <v>154</v>
      </c>
      <c r="Z47" s="7" t="s">
        <v>50</v>
      </c>
      <c r="AA47" s="8" t="s">
        <v>79</v>
      </c>
      <c r="AB47" s="9">
        <v>1.9824999999999999</v>
      </c>
    </row>
    <row r="48" spans="1:28" x14ac:dyDescent="0.35">
      <c r="A48" s="4">
        <v>5743</v>
      </c>
      <c r="B48" s="5" t="s">
        <v>155</v>
      </c>
      <c r="C48" s="6">
        <v>43787</v>
      </c>
      <c r="D48" s="4">
        <v>184</v>
      </c>
      <c r="E48" s="8" t="s">
        <v>44</v>
      </c>
      <c r="F48" s="7" t="s">
        <v>158</v>
      </c>
      <c r="G48" s="8" t="s">
        <v>159</v>
      </c>
      <c r="H48" s="7" t="str">
        <f>"000206"</f>
        <v>000206</v>
      </c>
      <c r="I48" s="6">
        <v>43524</v>
      </c>
      <c r="J48" s="7" t="str">
        <f>"000013"</f>
        <v>000013</v>
      </c>
      <c r="K48" s="6">
        <v>43585</v>
      </c>
      <c r="L48" s="7" t="str">
        <f>"000058"</f>
        <v>000058</v>
      </c>
      <c r="M48" s="6">
        <v>43598</v>
      </c>
      <c r="N48" s="7">
        <v>19</v>
      </c>
      <c r="O48" s="7" t="str">
        <f>"006191"</f>
        <v>006191</v>
      </c>
      <c r="P48" s="6">
        <v>43781</v>
      </c>
      <c r="Q48" s="9">
        <v>198.24</v>
      </c>
      <c r="R48" s="9">
        <v>28.557600000000001</v>
      </c>
      <c r="S48" s="9">
        <v>169.6824</v>
      </c>
      <c r="T48" s="7">
        <v>13</v>
      </c>
      <c r="U48" s="6">
        <v>43787</v>
      </c>
      <c r="V48" s="7">
        <v>9845154892</v>
      </c>
      <c r="W48" s="8" t="s">
        <v>37</v>
      </c>
      <c r="X48" s="7" t="s">
        <v>153</v>
      </c>
      <c r="Y48" s="8" t="s">
        <v>154</v>
      </c>
      <c r="Z48" s="7" t="s">
        <v>50</v>
      </c>
      <c r="AA48" s="8" t="s">
        <v>79</v>
      </c>
      <c r="AB48" s="9">
        <v>1.9824000000000002</v>
      </c>
    </row>
    <row r="49" spans="1:28" x14ac:dyDescent="0.35">
      <c r="A49" s="4">
        <v>5744</v>
      </c>
      <c r="B49" s="5" t="s">
        <v>155</v>
      </c>
      <c r="C49" s="6">
        <v>43795</v>
      </c>
      <c r="D49" s="4">
        <v>184</v>
      </c>
      <c r="E49" s="8" t="s">
        <v>44</v>
      </c>
      <c r="F49" s="7" t="s">
        <v>160</v>
      </c>
      <c r="G49" s="8" t="s">
        <v>161</v>
      </c>
      <c r="H49" s="7" t="str">
        <f>"000549"</f>
        <v>000549</v>
      </c>
      <c r="I49" s="6">
        <v>43185</v>
      </c>
      <c r="J49" s="7" t="str">
        <f>"000016"</f>
        <v>000016</v>
      </c>
      <c r="K49" s="6">
        <v>43225</v>
      </c>
      <c r="L49" s="7" t="str">
        <f>"000069"</f>
        <v>000069</v>
      </c>
      <c r="M49" s="6">
        <v>43241</v>
      </c>
      <c r="N49" s="7">
        <v>18</v>
      </c>
      <c r="O49" s="7" t="str">
        <f>"006385"</f>
        <v>006385</v>
      </c>
      <c r="P49" s="6">
        <v>43794</v>
      </c>
      <c r="Q49" s="9">
        <v>49.751199999999997</v>
      </c>
      <c r="R49" s="9">
        <v>6.2819000000000003</v>
      </c>
      <c r="S49" s="9">
        <v>43.469299999999997</v>
      </c>
      <c r="T49" s="7">
        <v>13</v>
      </c>
      <c r="U49" s="6">
        <v>43795</v>
      </c>
      <c r="V49" s="7">
        <v>9845710489</v>
      </c>
      <c r="W49" s="8" t="s">
        <v>162</v>
      </c>
      <c r="X49" s="7" t="s">
        <v>163</v>
      </c>
      <c r="Y49" s="8" t="s">
        <v>164</v>
      </c>
      <c r="Z49" s="7" t="s">
        <v>50</v>
      </c>
      <c r="AA49" s="8" t="s">
        <v>79</v>
      </c>
      <c r="AB49" s="9">
        <v>0.49751199999999995</v>
      </c>
    </row>
    <row r="50" spans="1:28" x14ac:dyDescent="0.35">
      <c r="A50" s="4">
        <v>5745</v>
      </c>
      <c r="B50" s="5" t="s">
        <v>155</v>
      </c>
      <c r="C50" s="6">
        <v>43795</v>
      </c>
      <c r="D50" s="4">
        <v>184</v>
      </c>
      <c r="E50" s="8" t="s">
        <v>44</v>
      </c>
      <c r="F50" s="7" t="s">
        <v>165</v>
      </c>
      <c r="G50" s="8" t="s">
        <v>166</v>
      </c>
      <c r="H50" s="7" t="str">
        <f>"000289"</f>
        <v>000289</v>
      </c>
      <c r="I50" s="6">
        <v>43139</v>
      </c>
      <c r="J50" s="7" t="str">
        <f>"000015"</f>
        <v>000015</v>
      </c>
      <c r="K50" s="6">
        <v>43224</v>
      </c>
      <c r="L50" s="7" t="str">
        <f>"000070"</f>
        <v>000070</v>
      </c>
      <c r="M50" s="6">
        <v>43242</v>
      </c>
      <c r="N50" s="7">
        <v>18</v>
      </c>
      <c r="O50" s="7" t="str">
        <f>"006386"</f>
        <v>006386</v>
      </c>
      <c r="P50" s="6">
        <v>43794</v>
      </c>
      <c r="Q50" s="9">
        <v>4.49</v>
      </c>
      <c r="R50" s="9">
        <v>0.48899999999999999</v>
      </c>
      <c r="S50" s="9">
        <v>4.0010000000000003</v>
      </c>
      <c r="T50" s="7">
        <v>13</v>
      </c>
      <c r="U50" s="6">
        <v>43795</v>
      </c>
      <c r="V50" s="7">
        <v>9845710489</v>
      </c>
      <c r="W50" s="8" t="s">
        <v>167</v>
      </c>
      <c r="X50" s="7" t="s">
        <v>104</v>
      </c>
      <c r="Y50" s="8" t="s">
        <v>105</v>
      </c>
      <c r="Z50" s="7" t="s">
        <v>50</v>
      </c>
      <c r="AA50" s="8" t="s">
        <v>79</v>
      </c>
      <c r="AB50" s="9">
        <v>4.4900000000000002E-2</v>
      </c>
    </row>
    <row r="51" spans="1:28" x14ac:dyDescent="0.35">
      <c r="A51" s="4">
        <v>5746</v>
      </c>
      <c r="B51" s="5" t="s">
        <v>168</v>
      </c>
      <c r="C51" s="6">
        <v>43801</v>
      </c>
      <c r="D51" s="4">
        <v>184</v>
      </c>
      <c r="E51" s="8" t="s">
        <v>44</v>
      </c>
      <c r="F51" s="7" t="s">
        <v>169</v>
      </c>
      <c r="G51" s="8" t="s">
        <v>170</v>
      </c>
      <c r="H51" s="7" t="str">
        <f>"000233"</f>
        <v>000233</v>
      </c>
      <c r="I51" s="6">
        <v>43543</v>
      </c>
      <c r="J51" s="7" t="str">
        <f>"000167"</f>
        <v>000167</v>
      </c>
      <c r="K51" s="6">
        <v>43545</v>
      </c>
      <c r="L51" s="7" t="str">
        <f>"000007"</f>
        <v>000007</v>
      </c>
      <c r="M51" s="6">
        <v>43575</v>
      </c>
      <c r="N51" s="7">
        <v>19</v>
      </c>
      <c r="O51" s="7" t="str">
        <f>"006508"</f>
        <v>006508</v>
      </c>
      <c r="P51" s="6">
        <v>43799</v>
      </c>
      <c r="Q51" s="9">
        <v>66.227999999999994</v>
      </c>
      <c r="R51" s="9">
        <v>3.5482399999999998</v>
      </c>
      <c r="S51" s="9">
        <v>62.679760000000002</v>
      </c>
      <c r="T51" s="7">
        <v>13</v>
      </c>
      <c r="U51" s="6">
        <v>43801</v>
      </c>
      <c r="V51" s="7">
        <v>9845043439</v>
      </c>
      <c r="W51" s="8" t="s">
        <v>171</v>
      </c>
      <c r="X51" s="7" t="s">
        <v>172</v>
      </c>
      <c r="Y51" s="8" t="s">
        <v>173</v>
      </c>
      <c r="Z51" s="7" t="s">
        <v>50</v>
      </c>
      <c r="AA51" s="8" t="s">
        <v>79</v>
      </c>
      <c r="AB51" s="9">
        <v>0.66227999999999998</v>
      </c>
    </row>
    <row r="52" spans="1:28" x14ac:dyDescent="0.35">
      <c r="A52" s="4">
        <v>5747</v>
      </c>
      <c r="B52" s="5" t="s">
        <v>168</v>
      </c>
      <c r="C52" s="6">
        <v>43815</v>
      </c>
      <c r="D52" s="4">
        <v>184</v>
      </c>
      <c r="E52" s="8" t="s">
        <v>44</v>
      </c>
      <c r="F52" s="7" t="s">
        <v>174</v>
      </c>
      <c r="G52" s="8" t="s">
        <v>175</v>
      </c>
      <c r="H52" s="7" t="str">
        <f>"000387"</f>
        <v>000387</v>
      </c>
      <c r="I52" s="6">
        <v>43162</v>
      </c>
      <c r="J52" s="7" t="str">
        <f>"000020"</f>
        <v>000020</v>
      </c>
      <c r="K52" s="6">
        <v>43237</v>
      </c>
      <c r="L52" s="7" t="str">
        <f>"000109"</f>
        <v>000109</v>
      </c>
      <c r="M52" s="6">
        <v>43250</v>
      </c>
      <c r="N52" s="7">
        <v>18</v>
      </c>
      <c r="O52" s="7" t="str">
        <f>"006579"</f>
        <v>006579</v>
      </c>
      <c r="P52" s="6">
        <v>43802</v>
      </c>
      <c r="Q52" s="9">
        <v>49.996000000000002</v>
      </c>
      <c r="R52" s="9">
        <v>7.0496499999999997</v>
      </c>
      <c r="S52" s="9">
        <v>42.946350000000002</v>
      </c>
      <c r="T52" s="7">
        <v>13</v>
      </c>
      <c r="U52" s="6">
        <v>43815</v>
      </c>
      <c r="V52" s="7">
        <v>9845741275</v>
      </c>
      <c r="W52" s="8" t="s">
        <v>37</v>
      </c>
      <c r="X52" s="7" t="s">
        <v>91</v>
      </c>
      <c r="Y52" s="8" t="s">
        <v>92</v>
      </c>
      <c r="Z52" s="7" t="s">
        <v>50</v>
      </c>
      <c r="AA52" s="8" t="s">
        <v>79</v>
      </c>
      <c r="AB52" s="9">
        <v>0.49996000000000002</v>
      </c>
    </row>
    <row r="53" spans="1:28" x14ac:dyDescent="0.35">
      <c r="A53" s="4">
        <v>5748</v>
      </c>
      <c r="B53" s="5" t="s">
        <v>168</v>
      </c>
      <c r="C53" s="6">
        <v>43815</v>
      </c>
      <c r="D53" s="4">
        <v>184</v>
      </c>
      <c r="E53" s="8" t="s">
        <v>44</v>
      </c>
      <c r="F53" s="7" t="s">
        <v>176</v>
      </c>
      <c r="G53" s="8" t="s">
        <v>177</v>
      </c>
      <c r="H53" s="7" t="str">
        <f>"000388"</f>
        <v>000388</v>
      </c>
      <c r="I53" s="6">
        <v>43162</v>
      </c>
      <c r="J53" s="7" t="str">
        <f>"000021"</f>
        <v>000021</v>
      </c>
      <c r="K53" s="6">
        <v>43237</v>
      </c>
      <c r="L53" s="7" t="str">
        <f>"000110"</f>
        <v>000110</v>
      </c>
      <c r="M53" s="6">
        <v>43250</v>
      </c>
      <c r="N53" s="7">
        <v>18</v>
      </c>
      <c r="O53" s="7" t="str">
        <f>"006580"</f>
        <v>006580</v>
      </c>
      <c r="P53" s="6">
        <v>43802</v>
      </c>
      <c r="Q53" s="9">
        <v>49.981699999999996</v>
      </c>
      <c r="R53" s="9">
        <v>7.2786</v>
      </c>
      <c r="S53" s="9">
        <v>42.703099999999999</v>
      </c>
      <c r="T53" s="7">
        <v>13</v>
      </c>
      <c r="U53" s="6">
        <v>43815</v>
      </c>
      <c r="V53" s="7">
        <v>9845741275</v>
      </c>
      <c r="W53" s="8" t="s">
        <v>37</v>
      </c>
      <c r="X53" s="7" t="s">
        <v>91</v>
      </c>
      <c r="Y53" s="8" t="s">
        <v>92</v>
      </c>
      <c r="Z53" s="7" t="s">
        <v>50</v>
      </c>
      <c r="AA53" s="8" t="s">
        <v>79</v>
      </c>
      <c r="AB53" s="9">
        <v>0.49981699999999996</v>
      </c>
    </row>
    <row r="54" spans="1:28" x14ac:dyDescent="0.35">
      <c r="A54" s="4">
        <v>5749</v>
      </c>
      <c r="B54" s="5" t="s">
        <v>168</v>
      </c>
      <c r="C54" s="6">
        <v>43815</v>
      </c>
      <c r="D54" s="4">
        <v>184</v>
      </c>
      <c r="E54" s="8" t="s">
        <v>44</v>
      </c>
      <c r="F54" s="7" t="s">
        <v>178</v>
      </c>
      <c r="G54" s="8" t="s">
        <v>179</v>
      </c>
      <c r="H54" s="7" t="str">
        <f>"000389"</f>
        <v>000389</v>
      </c>
      <c r="I54" s="6">
        <v>43162</v>
      </c>
      <c r="J54" s="7" t="str">
        <f>"000019"</f>
        <v>000019</v>
      </c>
      <c r="K54" s="6">
        <v>43237</v>
      </c>
      <c r="L54" s="7" t="str">
        <f>"000111"</f>
        <v>000111</v>
      </c>
      <c r="M54" s="6">
        <v>43250</v>
      </c>
      <c r="N54" s="7">
        <v>18</v>
      </c>
      <c r="O54" s="7" t="str">
        <f>"006581"</f>
        <v>006581</v>
      </c>
      <c r="P54" s="6">
        <v>43802</v>
      </c>
      <c r="Q54" s="9">
        <v>49.999499999999998</v>
      </c>
      <c r="R54" s="9">
        <v>7.2799899999999997</v>
      </c>
      <c r="S54" s="9">
        <v>42.71951</v>
      </c>
      <c r="T54" s="7">
        <v>13</v>
      </c>
      <c r="U54" s="6">
        <v>43815</v>
      </c>
      <c r="V54" s="7">
        <v>9845741275</v>
      </c>
      <c r="W54" s="8" t="s">
        <v>37</v>
      </c>
      <c r="X54" s="7" t="s">
        <v>91</v>
      </c>
      <c r="Y54" s="8" t="s">
        <v>92</v>
      </c>
      <c r="Z54" s="7" t="s">
        <v>50</v>
      </c>
      <c r="AA54" s="8" t="s">
        <v>79</v>
      </c>
      <c r="AB54" s="9">
        <v>0.49999499999999997</v>
      </c>
    </row>
    <row r="55" spans="1:28" x14ac:dyDescent="0.35">
      <c r="A55" s="4">
        <v>5750</v>
      </c>
      <c r="B55" s="5" t="s">
        <v>168</v>
      </c>
      <c r="C55" s="6">
        <v>43815</v>
      </c>
      <c r="D55" s="4">
        <v>184</v>
      </c>
      <c r="E55" s="8" t="s">
        <v>44</v>
      </c>
      <c r="F55" s="7" t="s">
        <v>180</v>
      </c>
      <c r="G55" s="8" t="s">
        <v>181</v>
      </c>
      <c r="H55" s="7" t="str">
        <f>"000390"</f>
        <v>000390</v>
      </c>
      <c r="I55" s="6">
        <v>43162</v>
      </c>
      <c r="J55" s="7" t="str">
        <f>"000018"</f>
        <v>000018</v>
      </c>
      <c r="K55" s="6">
        <v>43237</v>
      </c>
      <c r="L55" s="7" t="str">
        <f>"000112"</f>
        <v>000112</v>
      </c>
      <c r="M55" s="6">
        <v>43250</v>
      </c>
      <c r="N55" s="7">
        <v>18</v>
      </c>
      <c r="O55" s="7" t="str">
        <f>"006582"</f>
        <v>006582</v>
      </c>
      <c r="P55" s="6">
        <v>43802</v>
      </c>
      <c r="Q55" s="9">
        <v>49.871200000000002</v>
      </c>
      <c r="R55" s="9">
        <v>7.2385000000000002</v>
      </c>
      <c r="S55" s="9">
        <v>42.6327</v>
      </c>
      <c r="T55" s="7">
        <v>13</v>
      </c>
      <c r="U55" s="6">
        <v>43815</v>
      </c>
      <c r="V55" s="7">
        <v>9845741275</v>
      </c>
      <c r="W55" s="8" t="s">
        <v>37</v>
      </c>
      <c r="X55" s="7" t="s">
        <v>91</v>
      </c>
      <c r="Y55" s="8" t="s">
        <v>92</v>
      </c>
      <c r="Z55" s="7" t="s">
        <v>50</v>
      </c>
      <c r="AA55" s="8" t="s">
        <v>79</v>
      </c>
      <c r="AB55" s="9">
        <v>0.49871200000000004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2020-01-30T07:05:49Z</dcterms:modified>
</cp:coreProperties>
</file>