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BPR Q1 Q2 Q3\Contractor Bill Payment (Bill Register) Q1 Q2 Q3\"/>
    </mc:Choice>
  </mc:AlternateContent>
  <bookViews>
    <workbookView xWindow="0" yWindow="0" windowWidth="11790" windowHeight="563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37" i="1" l="1"/>
  <c r="L37" i="1"/>
  <c r="J37" i="1"/>
  <c r="H37" i="1"/>
  <c r="O36" i="1"/>
  <c r="L36" i="1"/>
  <c r="J36" i="1"/>
  <c r="H36" i="1"/>
  <c r="O35" i="1"/>
  <c r="L35" i="1"/>
  <c r="J35" i="1"/>
  <c r="H35" i="1"/>
  <c r="O34" i="1"/>
  <c r="L34" i="1"/>
  <c r="J34" i="1"/>
  <c r="H34" i="1"/>
  <c r="O33" i="1"/>
  <c r="L33" i="1"/>
  <c r="J33" i="1"/>
  <c r="H33" i="1"/>
  <c r="O32" i="1"/>
  <c r="L32" i="1"/>
  <c r="J32" i="1"/>
  <c r="H32" i="1"/>
  <c r="O31" i="1"/>
  <c r="L31" i="1"/>
  <c r="J31" i="1"/>
  <c r="H31" i="1"/>
  <c r="O30" i="1"/>
  <c r="L30" i="1"/>
  <c r="J30" i="1"/>
  <c r="H30" i="1"/>
  <c r="O29" i="1"/>
  <c r="L29" i="1"/>
  <c r="J29" i="1"/>
  <c r="H29" i="1"/>
  <c r="O28" i="1"/>
  <c r="L28" i="1"/>
  <c r="J28" i="1"/>
  <c r="H28" i="1"/>
  <c r="O27" i="1"/>
  <c r="L27" i="1"/>
  <c r="J27" i="1"/>
  <c r="H27" i="1"/>
  <c r="O26" i="1"/>
  <c r="L26" i="1"/>
  <c r="J26" i="1"/>
  <c r="H26" i="1"/>
  <c r="O25" i="1"/>
  <c r="L25" i="1"/>
  <c r="J25" i="1"/>
  <c r="H25" i="1"/>
  <c r="O24" i="1"/>
  <c r="L24" i="1"/>
  <c r="J24" i="1"/>
  <c r="H24" i="1"/>
  <c r="AB23" i="1"/>
  <c r="O23" i="1"/>
  <c r="L23" i="1"/>
  <c r="J23" i="1"/>
  <c r="H23" i="1"/>
  <c r="AB22" i="1"/>
  <c r="O22" i="1"/>
  <c r="L22" i="1"/>
  <c r="J22" i="1"/>
  <c r="H22" i="1"/>
  <c r="AB21" i="1"/>
  <c r="O21" i="1"/>
  <c r="L21" i="1"/>
  <c r="J21" i="1"/>
  <c r="H21" i="1"/>
  <c r="AB20" i="1"/>
  <c r="O20" i="1"/>
  <c r="L20" i="1"/>
  <c r="J20" i="1"/>
  <c r="H20" i="1"/>
  <c r="AB19" i="1"/>
  <c r="O19" i="1"/>
  <c r="L19" i="1"/>
  <c r="J19" i="1"/>
  <c r="H19" i="1"/>
  <c r="AB18" i="1"/>
  <c r="O18" i="1"/>
  <c r="L18" i="1"/>
  <c r="J18" i="1"/>
  <c r="H18" i="1"/>
  <c r="AB17" i="1"/>
  <c r="O17" i="1"/>
  <c r="L17" i="1"/>
  <c r="J17" i="1"/>
  <c r="H17" i="1"/>
  <c r="AB16" i="1"/>
  <c r="O16" i="1"/>
  <c r="L16" i="1"/>
  <c r="J16" i="1"/>
  <c r="H16" i="1"/>
  <c r="AB15" i="1"/>
  <c r="O15" i="1"/>
  <c r="L15" i="1"/>
  <c r="J15" i="1"/>
  <c r="H15" i="1"/>
  <c r="AB14" i="1"/>
  <c r="O14" i="1"/>
  <c r="L14" i="1"/>
  <c r="J14" i="1"/>
  <c r="H14" i="1"/>
  <c r="AB13" i="1"/>
  <c r="O13" i="1"/>
  <c r="L13" i="1"/>
  <c r="J13" i="1"/>
  <c r="H13" i="1"/>
  <c r="AB12" i="1"/>
  <c r="O12" i="1"/>
  <c r="L12" i="1"/>
  <c r="J12" i="1"/>
  <c r="H12" i="1"/>
  <c r="AB11" i="1"/>
  <c r="O11" i="1"/>
  <c r="L11" i="1"/>
  <c r="J11" i="1"/>
  <c r="H11" i="1"/>
  <c r="AB10" i="1"/>
  <c r="O10" i="1"/>
  <c r="L10" i="1"/>
  <c r="J10" i="1"/>
  <c r="H10" i="1"/>
  <c r="O9" i="1"/>
  <c r="L9" i="1"/>
  <c r="J9" i="1"/>
  <c r="H9" i="1"/>
  <c r="O8" i="1"/>
  <c r="L8" i="1"/>
  <c r="J8" i="1"/>
  <c r="H8" i="1"/>
  <c r="AB7" i="1"/>
  <c r="O7" i="1"/>
  <c r="L7" i="1"/>
  <c r="J7" i="1"/>
  <c r="H7" i="1"/>
  <c r="AB6" i="1"/>
  <c r="O6" i="1"/>
  <c r="L6" i="1"/>
  <c r="J6" i="1"/>
  <c r="H6" i="1"/>
  <c r="AB5" i="1"/>
  <c r="O5" i="1"/>
  <c r="L5" i="1"/>
  <c r="J5" i="1"/>
  <c r="H5" i="1"/>
  <c r="AB4" i="1"/>
  <c r="O4" i="1"/>
  <c r="L4" i="1"/>
  <c r="J4" i="1"/>
  <c r="H4" i="1"/>
  <c r="AB3" i="1"/>
  <c r="O3" i="1"/>
  <c r="L3" i="1"/>
  <c r="J3" i="1"/>
  <c r="H3" i="1"/>
  <c r="AB2" i="1"/>
  <c r="O2" i="1"/>
  <c r="L2" i="1"/>
  <c r="J2" i="1"/>
  <c r="H2" i="1"/>
</calcChain>
</file>

<file path=xl/sharedStrings.xml><?xml version="1.0" encoding="utf-8"?>
<sst xmlns="http://schemas.openxmlformats.org/spreadsheetml/2006/main" count="352" uniqueCount="134">
  <si>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</si>
  <si>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</si>
  <si>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</si>
  <si>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</si>
  <si>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</si>
  <si>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</si>
  <si>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</si>
  <si>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</si>
  <si>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</si>
  <si>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</si>
  <si>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</si>
  <si>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</si>
  <si>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</si>
  <si>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</si>
  <si>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</si>
  <si>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</si>
  <si>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</si>
  <si>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</si>
  <si>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</si>
  <si>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</si>
  <si>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</si>
  <si>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</si>
  <si>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</si>
  <si>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</si>
  <si>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</si>
  <si>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</si>
  <si>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</si>
  <si>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</si>
  <si>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April</t>
  </si>
  <si>
    <t>June</t>
  </si>
  <si>
    <t>P1771</t>
  </si>
  <si>
    <t>Zone Works - POW Works</t>
  </si>
  <si>
    <t>M and R to Street Lights - Replacement of Burnt Bulbs etc. (Package)</t>
  </si>
  <si>
    <t>P0300</t>
  </si>
  <si>
    <t>ddo439</t>
  </si>
  <si>
    <t xml:space="preserve"> Executive Engineer Electrical Division Bomanahalli Zone</t>
  </si>
  <si>
    <t>ddo445</t>
  </si>
  <si>
    <t xml:space="preserve"> Assistant Executive Engineer Uttharahalli  sub Division Bomanahalli Zone</t>
  </si>
  <si>
    <t>Yelchena Halli</t>
  </si>
  <si>
    <t>185-17-000020</t>
  </si>
  <si>
    <t>Providing Name boards in ward no.185 Yelechenahalli</t>
  </si>
  <si>
    <t>B K Prakash</t>
  </si>
  <si>
    <t>185-16-000001</t>
  </si>
  <si>
    <t>Annual Operation and Maintenance of street lighting system in ward no-185 Package B4 of Bommanahalli zone.</t>
  </si>
  <si>
    <t>M/s Sri Durga Enterprises</t>
  </si>
  <si>
    <t>185-17-000015</t>
  </si>
  <si>
    <t>Engaging tractor, labours and desilting of drains in ward no185 Yelechenahalli</t>
  </si>
  <si>
    <t>M Srinivas</t>
  </si>
  <si>
    <t>Annual Operation and Maintenance of street lighting system in ward no-185  Package B4 of Bommanahalli zone.</t>
  </si>
  <si>
    <t>185-17-000026</t>
  </si>
  <si>
    <t>Emergency funds in ward no.185 Yelechenahalli</t>
  </si>
  <si>
    <t>G Gopal</t>
  </si>
  <si>
    <t>July</t>
  </si>
  <si>
    <t>185-18-000031</t>
  </si>
  <si>
    <t>Improvements of Drain and Roads at Surrounding areas of Jattappa Compound in ward no.185 Yelechenahalli</t>
  </si>
  <si>
    <t>M/s KRIDL</t>
  </si>
  <si>
    <t>P1878</t>
  </si>
  <si>
    <t>18per - Works (Bhagyajyothi, Sooru / Neeru Yojane and General) (54 Lakhs / New Wards)</t>
  </si>
  <si>
    <t xml:space="preserve"> Assistant Executive Engineer Uttharahalli sub Division Bomanahalli Zone</t>
  </si>
  <si>
    <t>185-18-000030</t>
  </si>
  <si>
    <t>Improvements of Drain and Roads at Chandra nagar in ward no.185 Yelechenahalli</t>
  </si>
  <si>
    <t>185-17-000045</t>
  </si>
  <si>
    <t>Asphalting the main roads at Ramaiah Nagara in ward no no 185 Yelachenahalli</t>
  </si>
  <si>
    <t>KRIDL</t>
  </si>
  <si>
    <t>P3172</t>
  </si>
  <si>
    <t>Special Development works in ward No.177,78,97, 57,99,100,68,11,126,168, 113,02, 181,03, 21,33,23,24,27 ,59,53,57,81,47, 45,72, 50,91,92,117,145,146,147,148,151,152, 122,134, 157, 84,85,150,163, 179,180, 170, 171, 175,176, 173,174, 186,189, 190,193,185,191,194, 195,196, 127, (Rs.200 lakhs each ward)</t>
  </si>
  <si>
    <t>185-17-000047</t>
  </si>
  <si>
    <t>Improvements to roads and dains at Yelachenahalli in ward no no 185 Yelachenahalli</t>
  </si>
  <si>
    <t>185-17-000056</t>
  </si>
  <si>
    <t>Improvements to roads and drains in Kashinagara in ward No. 185</t>
  </si>
  <si>
    <t>P0190</t>
  </si>
  <si>
    <t>Works sanctioned by Hon Mayor</t>
  </si>
  <si>
    <t>185-17-000059</t>
  </si>
  <si>
    <t>Improvements to roads and drains in Ramakrishnanagara in ward No. 185</t>
  </si>
  <si>
    <t>185-17-000044</t>
  </si>
  <si>
    <t>Improvements to roads near Shaneshwara temple at Fayaz layout in ward no no 185 Yelachenahalli</t>
  </si>
  <si>
    <t>185-17-000055</t>
  </si>
  <si>
    <t>Improvements to roads and drains in Illiyas nagara in ward No. 185</t>
  </si>
  <si>
    <t>185-17-000043</t>
  </si>
  <si>
    <t>Improvements to roads and drains at Kanakanagara in ward no 185 Yelachenahalli</t>
  </si>
  <si>
    <t>185-17-000042</t>
  </si>
  <si>
    <t>Improvements and asphalting the main roads at Kanakanagara in ward no 185 Yelachenahalli</t>
  </si>
  <si>
    <t>185-17-000029</t>
  </si>
  <si>
    <t>Development and improvements to works in Yelchenahalli ward no 185</t>
  </si>
  <si>
    <t>M/s Civil Experts Consultants and Testing Center</t>
  </si>
  <si>
    <t>P3158</t>
  </si>
  <si>
    <t>SIP Infrastructure Project works</t>
  </si>
  <si>
    <t>August</t>
  </si>
  <si>
    <t>185-18-000014</t>
  </si>
  <si>
    <t>Drilling of 165mm Dia New Borewell 5 Nos And Providing electrification and Disturbution of Pipe line at Yelachenahalli in ward no 185</t>
  </si>
  <si>
    <t>September</t>
  </si>
  <si>
    <t>185-17-000046</t>
  </si>
  <si>
    <t>Improvements to roads and dains at Kashinagara in ward no no 185 Yelachenahalli</t>
  </si>
  <si>
    <t>October</t>
  </si>
  <si>
    <t>185-18-000010</t>
  </si>
  <si>
    <t>Improvements and Construction of RCC Drain at LHS of Ramaiah road (Near Ramakrishna Nagara) in ward no 185 Yelechenahalli</t>
  </si>
  <si>
    <t>Sri G Gopala</t>
  </si>
  <si>
    <t>P2415</t>
  </si>
  <si>
    <t>Reserve fund for TandF Committee</t>
  </si>
  <si>
    <t>185-18-000009</t>
  </si>
  <si>
    <t>Improvements and Construction of RCC Drain at RHS of Ramaiah road (Near Ramakrishna Nagara) in ward no 185 Yelechenahalli</t>
  </si>
  <si>
    <t>November</t>
  </si>
  <si>
    <t>185-17-000031</t>
  </si>
  <si>
    <t>Upgradation of BBMP hospital at Yelchenahalli in ward no 185</t>
  </si>
  <si>
    <t>Sri K Ramachandra Raju</t>
  </si>
  <si>
    <t>P3106</t>
  </si>
  <si>
    <t>Nagarothana Works</t>
  </si>
  <si>
    <t>185-17-000058</t>
  </si>
  <si>
    <t>Improvements to roads and drains in Chandra nagara in Ward No. 185</t>
  </si>
  <si>
    <t>185-17-000016</t>
  </si>
  <si>
    <t xml:space="preserve"> Providing Electrical works in ward no185 Yelechenahalli</t>
  </si>
  <si>
    <t>M/s. Shree hari Electrial</t>
  </si>
  <si>
    <t>December</t>
  </si>
  <si>
    <t>185-18-000006</t>
  </si>
  <si>
    <t>Improvements to roads and drains in Fayzabad Nagara main road and cross road in ward no 185, Yelechenahalli</t>
  </si>
  <si>
    <t>M/s Sai Thisha Infraengineers Pvt Ltd., Prop. Sri Nagesh M</t>
  </si>
  <si>
    <t>185-18-000012</t>
  </si>
  <si>
    <t>Improvements to roads and drains in Rajyothsava nagara in ward no 185 Yelechenahalli</t>
  </si>
  <si>
    <t>P3250</t>
  </si>
  <si>
    <t>Special Development works at ward Ward No.29 Rs.4 Cr, Ward 103,183,161,174,057,027 Rs.1 Cr each, Ward No.052,050,051,170,169,178 Each ward Rs.50.00 Lakhs, Bengaluru South Constituency Rs.2.00 Cr, Ward No 103,Rs.13.00 Cr, Ward No.171 Rs.20.00 Cr, Ward No.19 Rs.8 Cr. Ward No.104 Rs.5 Cr Each</t>
  </si>
  <si>
    <t>185-18-000002</t>
  </si>
  <si>
    <t>Improvements to roads and drains Illiyas nagara in ward no 185 Yelechenahalli</t>
  </si>
  <si>
    <t>185-18-000001</t>
  </si>
  <si>
    <t>Improvements to roads and drains in JC Industrial area in ward no 185 Yelechenahalli</t>
  </si>
  <si>
    <t>P3329</t>
  </si>
  <si>
    <t>Special Development works at Wards (70 wards Rs.1.00 Cr. Each) - Ward Numbers as per Budget Book 2017-18 page no. 109</t>
  </si>
  <si>
    <t>185-18-000011</t>
  </si>
  <si>
    <t>Improvements to roads and drains in Chandranagara in ward no 185 Yelechenahalli</t>
  </si>
  <si>
    <t>185-18-000013</t>
  </si>
  <si>
    <t>Improvements to roads and drains in Ramakrishnanagara in ward no 185 Yelechenahalli</t>
  </si>
  <si>
    <t>185-18-000004</t>
  </si>
  <si>
    <t>Improvements to roads and drains in Illiyas Nagara main road and cross road in ward no 185, Yelechenahalli</t>
  </si>
  <si>
    <t>185-18-000005</t>
  </si>
  <si>
    <t>Improvements to roads and drains in J.C. Industrial area main road and cross road in ward no 185, Yelechenahalli</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</si>
</sst>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0"/>
      <color theme="1"/>
      <name val="Calibri"/>
      <family val="2"/>
      <scheme val="minor"/>
    </font>
    <font>
      <sz val="10"/>
      <color theme="1"/>
      <name val="Calibri"/>
      <family val="2"/>
      <scheme val="minor"/>
    </font>
    <font>
      <sz val="8"/>
      <color theme="1"/>
      <name val="Verdana"/>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1" fontId="3" fillId="0" borderId="1" xfId="0" applyNumberFormat="1" applyFont="1" applyBorder="1" applyAlignment="1">
      <alignment horizontal="center" vertical="center"/>
    </xf>
    <xf numFmtId="15" fontId="3" fillId="0" borderId="1" xfId="0" applyNumberFormat="1" applyFont="1" applyBorder="1" applyAlignment="1">
      <alignment horizontal="left" vertical="center"/>
    </xf>
    <xf numFmtId="15"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2" fontId="3" fillId="0" borderId="1" xfId="0" applyNumberFormat="1" applyFont="1" applyBorder="1" applyAlignment="1">
      <alignment horizontal="right" vertical="center"/>
    </xf>
    <xf numFmtId="0" fontId="3" fillId="0" borderId="1" xfId="0" applyFont="1" applyBorder="1" applyAlignment="1">
      <alignment vertical="center"/>
    </xf>
    <xf numFmtId="2" fontId="3" fillId="0" borderId="1" xfId="0" applyNumberFormat="1"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7"/>
  <sheetViews>
    <sheetView tabSelected="1" workbookViewId="0">
      <selection activeCell="A2" sqref="A2:XFD37"/>
    </sheetView>
  </sheetViews>
  <sheetFormatPr defaultRowHeight="14.5" x14ac:dyDescent="0.35"/>
  <cols>
    <col min="1" max="1" width="5" bestFit="1" customWidth="1"/>
    <col min="2" max="2" width="6.26953125" bestFit="1" customWidth="1"/>
    <col min="3" max="3" width="9.54296875" bestFit="1" customWidth="1"/>
    <col min="5" max="5" width="11.453125" bestFit="1" customWidth="1"/>
    <col min="6" max="6" width="13.26953125" bestFit="1" customWidth="1"/>
    <col min="7" max="7" width="31.81640625" customWidth="1"/>
    <col min="16" max="16" width="9.54296875" bestFit="1" customWidth="1"/>
    <col min="21" max="21" width="9.54296875" bestFit="1" customWidth="1"/>
    <col min="27" max="27" width="16.81640625" customWidth="1"/>
  </cols>
  <sheetData>
    <row r="1" spans="1:28" s="3" customFormat="1" ht="24" customHeight="1" x14ac:dyDescent="0.3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28" x14ac:dyDescent="0.35">
      <c r="A2" s="4">
        <v>5751</v>
      </c>
      <c r="B2" s="5" t="s">
        <v>28</v>
      </c>
      <c r="C2" s="6">
        <v>43566</v>
      </c>
      <c r="D2" s="7">
        <v>185</v>
      </c>
      <c r="E2" s="8" t="s">
        <v>38</v>
      </c>
      <c r="F2" s="7" t="s">
        <v>39</v>
      </c>
      <c r="G2" s="8" t="s">
        <v>40</v>
      </c>
      <c r="H2" s="7" t="str">
        <f>"000012"</f>
        <v>000012</v>
      </c>
      <c r="I2" s="6">
        <v>42836</v>
      </c>
      <c r="J2" s="7" t="str">
        <f>"000065"</f>
        <v>000065</v>
      </c>
      <c r="K2" s="6">
        <v>42916</v>
      </c>
      <c r="L2" s="7" t="str">
        <f>"000189"</f>
        <v>000189</v>
      </c>
      <c r="M2" s="6">
        <v>42916</v>
      </c>
      <c r="N2" s="7">
        <v>17</v>
      </c>
      <c r="O2" s="7" t="str">
        <f>"000089"</f>
        <v>000089</v>
      </c>
      <c r="P2" s="6">
        <v>43563</v>
      </c>
      <c r="Q2" s="9">
        <v>9.2750000000000004</v>
      </c>
      <c r="R2" s="9">
        <v>1.19</v>
      </c>
      <c r="S2" s="9">
        <v>8.0850000000000009</v>
      </c>
      <c r="T2" s="7">
        <v>12</v>
      </c>
      <c r="U2" s="6">
        <v>43566</v>
      </c>
      <c r="V2" s="7">
        <v>1234567891</v>
      </c>
      <c r="W2" s="8" t="s">
        <v>41</v>
      </c>
      <c r="X2" s="7" t="s">
        <v>30</v>
      </c>
      <c r="Y2" s="8" t="s">
        <v>31</v>
      </c>
      <c r="Z2" s="7" t="s">
        <v>36</v>
      </c>
      <c r="AA2" s="8" t="s">
        <v>37</v>
      </c>
      <c r="AB2" s="9">
        <f t="shared" ref="AB2:AB7" si="0">Q2/100</f>
        <v>9.2749999999999999E-2</v>
      </c>
    </row>
    <row r="3" spans="1:28" x14ac:dyDescent="0.35">
      <c r="A3" s="4">
        <v>5752</v>
      </c>
      <c r="B3" s="5" t="s">
        <v>28</v>
      </c>
      <c r="C3" s="6">
        <v>43567</v>
      </c>
      <c r="D3" s="7">
        <v>185</v>
      </c>
      <c r="E3" s="8" t="s">
        <v>38</v>
      </c>
      <c r="F3" s="7" t="s">
        <v>42</v>
      </c>
      <c r="G3" s="8" t="s">
        <v>43</v>
      </c>
      <c r="H3" s="7" t="str">
        <f>"000001"</f>
        <v>000001</v>
      </c>
      <c r="I3" s="6">
        <v>43191</v>
      </c>
      <c r="J3" s="7" t="str">
        <f>"000005"</f>
        <v>000005</v>
      </c>
      <c r="K3" s="6">
        <v>43595</v>
      </c>
      <c r="L3" s="7" t="str">
        <f>"000002"</f>
        <v>000002</v>
      </c>
      <c r="M3" s="6">
        <v>43595</v>
      </c>
      <c r="N3" s="7">
        <v>16</v>
      </c>
      <c r="O3" s="7" t="str">
        <f>""</f>
        <v/>
      </c>
      <c r="P3" s="6"/>
      <c r="Q3" s="9">
        <v>4.7378099999999996</v>
      </c>
      <c r="R3" s="9">
        <v>0.61714999999999998</v>
      </c>
      <c r="S3" s="9">
        <v>4.12066</v>
      </c>
      <c r="T3" s="7">
        <v>17</v>
      </c>
      <c r="U3" s="6">
        <v>43567</v>
      </c>
      <c r="V3" s="7">
        <v>9448510301</v>
      </c>
      <c r="W3" s="8" t="s">
        <v>44</v>
      </c>
      <c r="X3" s="7" t="s">
        <v>33</v>
      </c>
      <c r="Y3" s="8" t="s">
        <v>32</v>
      </c>
      <c r="Z3" s="7" t="s">
        <v>34</v>
      </c>
      <c r="AA3" s="8" t="s">
        <v>35</v>
      </c>
      <c r="AB3" s="9">
        <f t="shared" si="0"/>
        <v>4.7378099999999999E-2</v>
      </c>
    </row>
    <row r="4" spans="1:28" x14ac:dyDescent="0.35">
      <c r="A4" s="4">
        <v>5753</v>
      </c>
      <c r="B4" s="5" t="s">
        <v>28</v>
      </c>
      <c r="C4" s="6">
        <v>43567</v>
      </c>
      <c r="D4" s="7">
        <v>185</v>
      </c>
      <c r="E4" s="8" t="s">
        <v>38</v>
      </c>
      <c r="F4" s="7" t="s">
        <v>42</v>
      </c>
      <c r="G4" s="8" t="s">
        <v>43</v>
      </c>
      <c r="H4" s="7" t="str">
        <f>"000001"</f>
        <v>000001</v>
      </c>
      <c r="I4" s="6">
        <v>43191</v>
      </c>
      <c r="J4" s="7" t="str">
        <f>"000005"</f>
        <v>000005</v>
      </c>
      <c r="K4" s="6">
        <v>43595</v>
      </c>
      <c r="L4" s="7" t="str">
        <f>"000002"</f>
        <v>000002</v>
      </c>
      <c r="M4" s="6">
        <v>43595</v>
      </c>
      <c r="N4" s="7">
        <v>16</v>
      </c>
      <c r="O4" s="7" t="str">
        <f>""</f>
        <v/>
      </c>
      <c r="P4" s="6"/>
      <c r="Q4" s="9">
        <v>2.3689</v>
      </c>
      <c r="R4" s="9">
        <v>0.26113999999999998</v>
      </c>
      <c r="S4" s="9">
        <v>2.1077599999999999</v>
      </c>
      <c r="T4" s="7">
        <v>17</v>
      </c>
      <c r="U4" s="6">
        <v>43567</v>
      </c>
      <c r="V4" s="7">
        <v>9448510301</v>
      </c>
      <c r="W4" s="8" t="s">
        <v>44</v>
      </c>
      <c r="X4" s="7" t="s">
        <v>33</v>
      </c>
      <c r="Y4" s="8" t="s">
        <v>32</v>
      </c>
      <c r="Z4" s="7" t="s">
        <v>34</v>
      </c>
      <c r="AA4" s="8" t="s">
        <v>35</v>
      </c>
      <c r="AB4" s="9">
        <f t="shared" si="0"/>
        <v>2.3689000000000002E-2</v>
      </c>
    </row>
    <row r="5" spans="1:28" x14ac:dyDescent="0.35">
      <c r="A5" s="4">
        <v>5754</v>
      </c>
      <c r="B5" s="5" t="s">
        <v>28</v>
      </c>
      <c r="C5" s="6">
        <v>43575</v>
      </c>
      <c r="D5" s="7">
        <v>185</v>
      </c>
      <c r="E5" s="8" t="s">
        <v>38</v>
      </c>
      <c r="F5" s="7" t="s">
        <v>42</v>
      </c>
      <c r="G5" s="8" t="s">
        <v>43</v>
      </c>
      <c r="H5" s="7" t="str">
        <f>"000001"</f>
        <v>000001</v>
      </c>
      <c r="I5" s="6">
        <v>43191</v>
      </c>
      <c r="J5" s="7" t="str">
        <f>"000005"</f>
        <v>000005</v>
      </c>
      <c r="K5" s="6">
        <v>43595</v>
      </c>
      <c r="L5" s="7" t="str">
        <f>"000002"</f>
        <v>000002</v>
      </c>
      <c r="M5" s="6">
        <v>43595</v>
      </c>
      <c r="N5" s="7">
        <v>16</v>
      </c>
      <c r="O5" s="7" t="str">
        <f>""</f>
        <v/>
      </c>
      <c r="P5" s="6"/>
      <c r="Q5" s="9">
        <v>3.5533600000000001</v>
      </c>
      <c r="R5" s="9">
        <v>0.46727999999999997</v>
      </c>
      <c r="S5" s="9">
        <v>3.0860799999999999</v>
      </c>
      <c r="T5" s="7">
        <v>20</v>
      </c>
      <c r="U5" s="6">
        <v>43575</v>
      </c>
      <c r="V5" s="7">
        <v>9448510301</v>
      </c>
      <c r="W5" s="8" t="s">
        <v>44</v>
      </c>
      <c r="X5" s="7" t="s">
        <v>33</v>
      </c>
      <c r="Y5" s="8" t="s">
        <v>32</v>
      </c>
      <c r="Z5" s="7" t="s">
        <v>34</v>
      </c>
      <c r="AA5" s="8" t="s">
        <v>35</v>
      </c>
      <c r="AB5" s="9">
        <f t="shared" si="0"/>
        <v>3.5533599999999999E-2</v>
      </c>
    </row>
    <row r="6" spans="1:28" x14ac:dyDescent="0.35">
      <c r="A6" s="4">
        <v>5755</v>
      </c>
      <c r="B6" s="5" t="s">
        <v>28</v>
      </c>
      <c r="C6" s="6">
        <v>43580</v>
      </c>
      <c r="D6" s="7">
        <v>185</v>
      </c>
      <c r="E6" s="8" t="s">
        <v>38</v>
      </c>
      <c r="F6" s="7" t="s">
        <v>42</v>
      </c>
      <c r="G6" s="8" t="s">
        <v>43</v>
      </c>
      <c r="H6" s="7" t="str">
        <f>"000001"</f>
        <v>000001</v>
      </c>
      <c r="I6" s="6">
        <v>43191</v>
      </c>
      <c r="J6" s="7" t="str">
        <f>"000005"</f>
        <v>000005</v>
      </c>
      <c r="K6" s="6">
        <v>43595</v>
      </c>
      <c r="L6" s="7" t="str">
        <f>"000002"</f>
        <v>000002</v>
      </c>
      <c r="M6" s="6">
        <v>43595</v>
      </c>
      <c r="N6" s="7">
        <v>16</v>
      </c>
      <c r="O6" s="7" t="str">
        <f>""</f>
        <v/>
      </c>
      <c r="P6" s="6"/>
      <c r="Q6" s="9">
        <v>2.3689</v>
      </c>
      <c r="R6" s="9">
        <v>0.30858000000000002</v>
      </c>
      <c r="S6" s="9">
        <v>2.0603199999999999</v>
      </c>
      <c r="T6" s="7">
        <v>29</v>
      </c>
      <c r="U6" s="6">
        <v>43580</v>
      </c>
      <c r="V6" s="7">
        <v>9448510301</v>
      </c>
      <c r="W6" s="8" t="s">
        <v>44</v>
      </c>
      <c r="X6" s="7" t="s">
        <v>33</v>
      </c>
      <c r="Y6" s="8" t="s">
        <v>32</v>
      </c>
      <c r="Z6" s="7" t="s">
        <v>34</v>
      </c>
      <c r="AA6" s="8" t="s">
        <v>35</v>
      </c>
      <c r="AB6" s="9">
        <f t="shared" si="0"/>
        <v>2.3689000000000002E-2</v>
      </c>
    </row>
    <row r="7" spans="1:28" x14ac:dyDescent="0.35">
      <c r="A7" s="4">
        <v>5756</v>
      </c>
      <c r="B7" s="5" t="s">
        <v>28</v>
      </c>
      <c r="C7" s="6">
        <v>43582</v>
      </c>
      <c r="D7" s="7">
        <v>185</v>
      </c>
      <c r="E7" s="8" t="s">
        <v>38</v>
      </c>
      <c r="F7" s="7" t="s">
        <v>45</v>
      </c>
      <c r="G7" s="8" t="s">
        <v>46</v>
      </c>
      <c r="H7" s="7" t="str">
        <f>"000231"</f>
        <v>000231</v>
      </c>
      <c r="I7" s="6">
        <v>42821</v>
      </c>
      <c r="J7" s="7" t="str">
        <f>"000023"</f>
        <v>000023</v>
      </c>
      <c r="K7" s="6">
        <v>43118</v>
      </c>
      <c r="L7" s="7" t="str">
        <f>"000074"</f>
        <v>000074</v>
      </c>
      <c r="M7" s="6">
        <v>43153</v>
      </c>
      <c r="N7" s="7">
        <v>17</v>
      </c>
      <c r="O7" s="7" t="str">
        <f>"001039"</f>
        <v>001039</v>
      </c>
      <c r="P7" s="6">
        <v>43580</v>
      </c>
      <c r="Q7" s="9">
        <v>19.925000000000001</v>
      </c>
      <c r="R7" s="9">
        <v>2.1343999999999999</v>
      </c>
      <c r="S7" s="9">
        <v>17.790600000000001</v>
      </c>
      <c r="T7" s="7">
        <v>31</v>
      </c>
      <c r="U7" s="6">
        <v>43582</v>
      </c>
      <c r="V7" s="7">
        <v>9916481607</v>
      </c>
      <c r="W7" s="8" t="s">
        <v>47</v>
      </c>
      <c r="X7" s="7" t="s">
        <v>30</v>
      </c>
      <c r="Y7" s="8" t="s">
        <v>31</v>
      </c>
      <c r="Z7" s="7" t="s">
        <v>36</v>
      </c>
      <c r="AA7" s="8" t="s">
        <v>37</v>
      </c>
      <c r="AB7" s="9">
        <f t="shared" si="0"/>
        <v>0.19925000000000001</v>
      </c>
    </row>
    <row r="8" spans="1:28" x14ac:dyDescent="0.35">
      <c r="A8" s="4">
        <v>5757</v>
      </c>
      <c r="B8" s="5" t="s">
        <v>29</v>
      </c>
      <c r="C8" s="6">
        <v>43623</v>
      </c>
      <c r="D8" s="7">
        <v>185</v>
      </c>
      <c r="E8" s="8" t="s">
        <v>38</v>
      </c>
      <c r="F8" s="7" t="s">
        <v>42</v>
      </c>
      <c r="G8" s="8" t="s">
        <v>48</v>
      </c>
      <c r="H8" s="7" t="str">
        <f>"000001"</f>
        <v>000001</v>
      </c>
      <c r="I8" s="6">
        <v>43191</v>
      </c>
      <c r="J8" s="7" t="str">
        <f>"000005"</f>
        <v>000005</v>
      </c>
      <c r="K8" s="6">
        <v>43595</v>
      </c>
      <c r="L8" s="7" t="str">
        <f>"000002"</f>
        <v>000002</v>
      </c>
      <c r="M8" s="6">
        <v>43595</v>
      </c>
      <c r="N8" s="7">
        <v>16</v>
      </c>
      <c r="O8" s="7" t="str">
        <f>"002387"</f>
        <v>002387</v>
      </c>
      <c r="P8" s="6">
        <v>43619</v>
      </c>
      <c r="Q8" s="9">
        <v>4.7378099999999996</v>
      </c>
      <c r="R8" s="9">
        <v>0.66025</v>
      </c>
      <c r="S8" s="9">
        <v>4.0775600000000001</v>
      </c>
      <c r="T8" s="7">
        <v>73</v>
      </c>
      <c r="U8" s="6">
        <v>43623</v>
      </c>
      <c r="V8" s="7">
        <v>9448510301</v>
      </c>
      <c r="W8" s="8" t="s">
        <v>44</v>
      </c>
      <c r="X8" s="7" t="s">
        <v>33</v>
      </c>
      <c r="Y8" s="8" t="s">
        <v>32</v>
      </c>
      <c r="Z8" s="7" t="s">
        <v>34</v>
      </c>
      <c r="AA8" s="8" t="s">
        <v>35</v>
      </c>
      <c r="AB8" s="9">
        <v>4.7378099999999999E-2</v>
      </c>
    </row>
    <row r="9" spans="1:28" x14ac:dyDescent="0.35">
      <c r="A9" s="4">
        <v>5758</v>
      </c>
      <c r="B9" s="5" t="s">
        <v>29</v>
      </c>
      <c r="C9" s="6">
        <v>43628</v>
      </c>
      <c r="D9" s="7">
        <v>185</v>
      </c>
      <c r="E9" s="8" t="s">
        <v>38</v>
      </c>
      <c r="F9" s="7" t="s">
        <v>49</v>
      </c>
      <c r="G9" s="8" t="s">
        <v>50</v>
      </c>
      <c r="H9" s="7" t="str">
        <f>"000031"</f>
        <v>000031</v>
      </c>
      <c r="I9" s="6">
        <v>42996</v>
      </c>
      <c r="J9" s="7" t="str">
        <f>"000013"</f>
        <v>000013</v>
      </c>
      <c r="K9" s="6">
        <v>43095</v>
      </c>
      <c r="L9" s="7" t="str">
        <f>"000003"</f>
        <v>000003</v>
      </c>
      <c r="M9" s="6">
        <v>43097</v>
      </c>
      <c r="N9" s="7">
        <v>17</v>
      </c>
      <c r="O9" s="7" t="str">
        <f>"002622"</f>
        <v>002622</v>
      </c>
      <c r="P9" s="6">
        <v>43627</v>
      </c>
      <c r="Q9" s="9">
        <v>14.4633</v>
      </c>
      <c r="R9" s="9">
        <v>1.8446</v>
      </c>
      <c r="S9" s="9">
        <v>12.6187</v>
      </c>
      <c r="T9" s="7">
        <v>76</v>
      </c>
      <c r="U9" s="6">
        <v>43628</v>
      </c>
      <c r="V9" s="7">
        <v>9900218893</v>
      </c>
      <c r="W9" s="8" t="s">
        <v>51</v>
      </c>
      <c r="X9" s="7" t="s">
        <v>30</v>
      </c>
      <c r="Y9" s="8" t="s">
        <v>31</v>
      </c>
      <c r="Z9" s="7" t="s">
        <v>36</v>
      </c>
      <c r="AA9" s="8" t="s">
        <v>37</v>
      </c>
      <c r="AB9" s="9">
        <v>0.14463300000000001</v>
      </c>
    </row>
    <row r="10" spans="1:28" x14ac:dyDescent="0.35">
      <c r="A10" s="4">
        <v>5759</v>
      </c>
      <c r="B10" s="5" t="s">
        <v>52</v>
      </c>
      <c r="C10" s="6">
        <v>43658</v>
      </c>
      <c r="D10" s="7">
        <v>185</v>
      </c>
      <c r="E10" s="8" t="s">
        <v>38</v>
      </c>
      <c r="F10" s="7" t="s">
        <v>53</v>
      </c>
      <c r="G10" s="10" t="s">
        <v>54</v>
      </c>
      <c r="H10" s="7" t="str">
        <f>"000008"</f>
        <v>000008</v>
      </c>
      <c r="I10" s="6">
        <v>43243</v>
      </c>
      <c r="J10" s="7" t="str">
        <f>"000122"</f>
        <v>000122</v>
      </c>
      <c r="K10" s="6">
        <v>43411</v>
      </c>
      <c r="L10" s="7" t="str">
        <f>"000346"</f>
        <v>000346</v>
      </c>
      <c r="M10" s="6">
        <v>43463</v>
      </c>
      <c r="N10" s="7">
        <v>18</v>
      </c>
      <c r="O10" s="7" t="str">
        <f>"003293"</f>
        <v>003293</v>
      </c>
      <c r="P10" s="6">
        <v>43650</v>
      </c>
      <c r="Q10" s="11">
        <v>49.98</v>
      </c>
      <c r="R10" s="11">
        <v>7.1531000000000002</v>
      </c>
      <c r="S10" s="11">
        <v>42.826900000000002</v>
      </c>
      <c r="T10" s="7">
        <v>112</v>
      </c>
      <c r="U10" s="6">
        <v>43658</v>
      </c>
      <c r="V10" s="7">
        <v>9632545911</v>
      </c>
      <c r="W10" s="10" t="s">
        <v>55</v>
      </c>
      <c r="X10" s="7" t="s">
        <v>56</v>
      </c>
      <c r="Y10" s="10" t="s">
        <v>57</v>
      </c>
      <c r="Z10" s="7" t="s">
        <v>36</v>
      </c>
      <c r="AA10" s="10" t="s">
        <v>58</v>
      </c>
      <c r="AB10" s="11">
        <f t="shared" ref="AB10:AB23" si="1">Q10/100</f>
        <v>0.49979999999999997</v>
      </c>
    </row>
    <row r="11" spans="1:28" x14ac:dyDescent="0.35">
      <c r="A11" s="4">
        <v>5760</v>
      </c>
      <c r="B11" s="5" t="s">
        <v>52</v>
      </c>
      <c r="C11" s="6">
        <v>43658</v>
      </c>
      <c r="D11" s="7">
        <v>185</v>
      </c>
      <c r="E11" s="8" t="s">
        <v>38</v>
      </c>
      <c r="F11" s="7" t="s">
        <v>59</v>
      </c>
      <c r="G11" s="10" t="s">
        <v>60</v>
      </c>
      <c r="H11" s="7" t="str">
        <f>"000009"</f>
        <v>000009</v>
      </c>
      <c r="I11" s="6">
        <v>43243</v>
      </c>
      <c r="J11" s="7" t="str">
        <f>"000121"</f>
        <v>000121</v>
      </c>
      <c r="K11" s="6">
        <v>43411</v>
      </c>
      <c r="L11" s="7" t="str">
        <f>"000345"</f>
        <v>000345</v>
      </c>
      <c r="M11" s="6">
        <v>43463</v>
      </c>
      <c r="N11" s="7">
        <v>18</v>
      </c>
      <c r="O11" s="7" t="str">
        <f>"003294"</f>
        <v>003294</v>
      </c>
      <c r="P11" s="6">
        <v>43650</v>
      </c>
      <c r="Q11" s="11">
        <v>49.975000000000001</v>
      </c>
      <c r="R11" s="11">
        <v>7.1424200000000004</v>
      </c>
      <c r="S11" s="11">
        <v>42.83258</v>
      </c>
      <c r="T11" s="7">
        <v>112</v>
      </c>
      <c r="U11" s="6">
        <v>43658</v>
      </c>
      <c r="V11" s="7">
        <v>9632545911</v>
      </c>
      <c r="W11" s="10" t="s">
        <v>55</v>
      </c>
      <c r="X11" s="7" t="s">
        <v>56</v>
      </c>
      <c r="Y11" s="10" t="s">
        <v>57</v>
      </c>
      <c r="Z11" s="7" t="s">
        <v>36</v>
      </c>
      <c r="AA11" s="10" t="s">
        <v>58</v>
      </c>
      <c r="AB11" s="11">
        <f t="shared" si="1"/>
        <v>0.49975000000000003</v>
      </c>
    </row>
    <row r="12" spans="1:28" x14ac:dyDescent="0.35">
      <c r="A12" s="4">
        <v>5761</v>
      </c>
      <c r="B12" s="5" t="s">
        <v>52</v>
      </c>
      <c r="C12" s="6">
        <v>43669</v>
      </c>
      <c r="D12" s="7">
        <v>185</v>
      </c>
      <c r="E12" s="8" t="s">
        <v>38</v>
      </c>
      <c r="F12" s="7" t="s">
        <v>61</v>
      </c>
      <c r="G12" s="10" t="s">
        <v>62</v>
      </c>
      <c r="H12" s="7" t="str">
        <f>"0aa143"</f>
        <v>0aa143</v>
      </c>
      <c r="I12" s="6">
        <v>42894</v>
      </c>
      <c r="J12" s="7" t="str">
        <f>"000066"</f>
        <v>000066</v>
      </c>
      <c r="K12" s="6">
        <v>42916</v>
      </c>
      <c r="L12" s="7" t="str">
        <f>"000191"</f>
        <v>000191</v>
      </c>
      <c r="M12" s="6">
        <v>42916</v>
      </c>
      <c r="N12" s="7">
        <v>17</v>
      </c>
      <c r="O12" s="7" t="str">
        <f>"003650"</f>
        <v>003650</v>
      </c>
      <c r="P12" s="6">
        <v>43664</v>
      </c>
      <c r="Q12" s="11">
        <v>29.98</v>
      </c>
      <c r="R12" s="11">
        <v>4.9573</v>
      </c>
      <c r="S12" s="11">
        <v>25.0227</v>
      </c>
      <c r="T12" s="7">
        <v>122</v>
      </c>
      <c r="U12" s="6">
        <v>43669</v>
      </c>
      <c r="V12" s="7">
        <v>9845183166</v>
      </c>
      <c r="W12" s="10" t="s">
        <v>63</v>
      </c>
      <c r="X12" s="7" t="s">
        <v>64</v>
      </c>
      <c r="Y12" s="10" t="s">
        <v>65</v>
      </c>
      <c r="Z12" s="7" t="s">
        <v>36</v>
      </c>
      <c r="AA12" s="10" t="s">
        <v>58</v>
      </c>
      <c r="AB12" s="11">
        <f t="shared" si="1"/>
        <v>0.29980000000000001</v>
      </c>
    </row>
    <row r="13" spans="1:28" x14ac:dyDescent="0.35">
      <c r="A13" s="4">
        <v>5762</v>
      </c>
      <c r="B13" s="5" t="s">
        <v>52</v>
      </c>
      <c r="C13" s="6">
        <v>43669</v>
      </c>
      <c r="D13" s="7">
        <v>185</v>
      </c>
      <c r="E13" s="8" t="s">
        <v>38</v>
      </c>
      <c r="F13" s="7" t="s">
        <v>66</v>
      </c>
      <c r="G13" s="10" t="s">
        <v>67</v>
      </c>
      <c r="H13" s="7" t="str">
        <f>"00a142"</f>
        <v>00a142</v>
      </c>
      <c r="I13" s="6">
        <v>42894</v>
      </c>
      <c r="J13" s="7" t="str">
        <f>"000070"</f>
        <v>000070</v>
      </c>
      <c r="K13" s="6">
        <v>42916</v>
      </c>
      <c r="L13" s="7" t="str">
        <f>"000195"</f>
        <v>000195</v>
      </c>
      <c r="M13" s="6">
        <v>42916</v>
      </c>
      <c r="N13" s="7">
        <v>17</v>
      </c>
      <c r="O13" s="7" t="str">
        <f>"003651"</f>
        <v>003651</v>
      </c>
      <c r="P13" s="6">
        <v>43664</v>
      </c>
      <c r="Q13" s="11">
        <v>24.99</v>
      </c>
      <c r="R13" s="11">
        <v>4.1294000000000004</v>
      </c>
      <c r="S13" s="11">
        <v>20.860600000000002</v>
      </c>
      <c r="T13" s="7">
        <v>122</v>
      </c>
      <c r="U13" s="6">
        <v>43669</v>
      </c>
      <c r="V13" s="7">
        <v>9845183166</v>
      </c>
      <c r="W13" s="10" t="s">
        <v>63</v>
      </c>
      <c r="X13" s="7" t="s">
        <v>64</v>
      </c>
      <c r="Y13" s="10" t="s">
        <v>65</v>
      </c>
      <c r="Z13" s="7" t="s">
        <v>36</v>
      </c>
      <c r="AA13" s="10" t="s">
        <v>58</v>
      </c>
      <c r="AB13" s="11">
        <f t="shared" si="1"/>
        <v>0.24989999999999998</v>
      </c>
    </row>
    <row r="14" spans="1:28" x14ac:dyDescent="0.35">
      <c r="A14" s="4">
        <v>5763</v>
      </c>
      <c r="B14" s="5" t="s">
        <v>52</v>
      </c>
      <c r="C14" s="6">
        <v>43669</v>
      </c>
      <c r="D14" s="7">
        <v>185</v>
      </c>
      <c r="E14" s="8" t="s">
        <v>38</v>
      </c>
      <c r="F14" s="7" t="s">
        <v>68</v>
      </c>
      <c r="G14" s="10" t="s">
        <v>69</v>
      </c>
      <c r="H14" s="7" t="str">
        <f>"0aa135"</f>
        <v>0aa135</v>
      </c>
      <c r="I14" s="6">
        <v>42894</v>
      </c>
      <c r="J14" s="7" t="str">
        <f>"000076"</f>
        <v>000076</v>
      </c>
      <c r="K14" s="6">
        <v>42916</v>
      </c>
      <c r="L14" s="7" t="str">
        <f>"000201"</f>
        <v>000201</v>
      </c>
      <c r="M14" s="6">
        <v>42916</v>
      </c>
      <c r="N14" s="7">
        <v>17</v>
      </c>
      <c r="O14" s="7" t="str">
        <f>"003652"</f>
        <v>003652</v>
      </c>
      <c r="P14" s="6">
        <v>43664</v>
      </c>
      <c r="Q14" s="11">
        <v>49.99</v>
      </c>
      <c r="R14" s="11">
        <v>8.2789000000000001</v>
      </c>
      <c r="S14" s="11">
        <v>41.711100000000002</v>
      </c>
      <c r="T14" s="7">
        <v>122</v>
      </c>
      <c r="U14" s="6">
        <v>43669</v>
      </c>
      <c r="V14" s="7">
        <v>9845183166</v>
      </c>
      <c r="W14" s="10" t="s">
        <v>63</v>
      </c>
      <c r="X14" s="7" t="s">
        <v>70</v>
      </c>
      <c r="Y14" s="10" t="s">
        <v>71</v>
      </c>
      <c r="Z14" s="7" t="s">
        <v>36</v>
      </c>
      <c r="AA14" s="10" t="s">
        <v>58</v>
      </c>
      <c r="AB14" s="11">
        <f t="shared" si="1"/>
        <v>0.49990000000000001</v>
      </c>
    </row>
    <row r="15" spans="1:28" x14ac:dyDescent="0.35">
      <c r="A15" s="4">
        <v>5764</v>
      </c>
      <c r="B15" s="5" t="s">
        <v>52</v>
      </c>
      <c r="C15" s="6">
        <v>43669</v>
      </c>
      <c r="D15" s="7">
        <v>185</v>
      </c>
      <c r="E15" s="8" t="s">
        <v>38</v>
      </c>
      <c r="F15" s="7" t="s">
        <v>72</v>
      </c>
      <c r="G15" s="10" t="s">
        <v>73</v>
      </c>
      <c r="H15" s="7" t="str">
        <f>"00134a"</f>
        <v>00134a</v>
      </c>
      <c r="I15" s="6">
        <v>42894</v>
      </c>
      <c r="J15" s="7" t="str">
        <f>"000068"</f>
        <v>000068</v>
      </c>
      <c r="K15" s="6">
        <v>42916</v>
      </c>
      <c r="L15" s="7" t="str">
        <f>"000193"</f>
        <v>000193</v>
      </c>
      <c r="M15" s="6">
        <v>42916</v>
      </c>
      <c r="N15" s="7">
        <v>17</v>
      </c>
      <c r="O15" s="7" t="str">
        <f>"003708"</f>
        <v>003708</v>
      </c>
      <c r="P15" s="6">
        <v>43664</v>
      </c>
      <c r="Q15" s="11">
        <v>24.99</v>
      </c>
      <c r="R15" s="11">
        <v>4.1294000000000004</v>
      </c>
      <c r="S15" s="11">
        <v>20.860600000000002</v>
      </c>
      <c r="T15" s="7">
        <v>122</v>
      </c>
      <c r="U15" s="6">
        <v>43669</v>
      </c>
      <c r="V15" s="7">
        <v>9845183166</v>
      </c>
      <c r="W15" s="10" t="s">
        <v>63</v>
      </c>
      <c r="X15" s="7" t="s">
        <v>70</v>
      </c>
      <c r="Y15" s="10" t="s">
        <v>71</v>
      </c>
      <c r="Z15" s="7" t="s">
        <v>36</v>
      </c>
      <c r="AA15" s="10" t="s">
        <v>58</v>
      </c>
      <c r="AB15" s="11">
        <f t="shared" si="1"/>
        <v>0.24989999999999998</v>
      </c>
    </row>
    <row r="16" spans="1:28" x14ac:dyDescent="0.35">
      <c r="A16" s="4">
        <v>5765</v>
      </c>
      <c r="B16" s="5" t="s">
        <v>52</v>
      </c>
      <c r="C16" s="6">
        <v>43669</v>
      </c>
      <c r="D16" s="7">
        <v>185</v>
      </c>
      <c r="E16" s="8" t="s">
        <v>38</v>
      </c>
      <c r="F16" s="7" t="s">
        <v>74</v>
      </c>
      <c r="G16" s="10" t="s">
        <v>75</v>
      </c>
      <c r="H16" s="7" t="str">
        <f>"00138a"</f>
        <v>00138a</v>
      </c>
      <c r="I16" s="6">
        <v>42894</v>
      </c>
      <c r="J16" s="7" t="str">
        <f>"000072"</f>
        <v>000072</v>
      </c>
      <c r="K16" s="6">
        <v>42916</v>
      </c>
      <c r="L16" s="7" t="str">
        <f>"000197"</f>
        <v>000197</v>
      </c>
      <c r="M16" s="6">
        <v>42916</v>
      </c>
      <c r="N16" s="7">
        <v>17</v>
      </c>
      <c r="O16" s="7" t="str">
        <f>"003718"</f>
        <v>003718</v>
      </c>
      <c r="P16" s="6">
        <v>43664</v>
      </c>
      <c r="Q16" s="11">
        <v>29.98</v>
      </c>
      <c r="R16" s="11">
        <v>4.9573</v>
      </c>
      <c r="S16" s="11">
        <v>25.0227</v>
      </c>
      <c r="T16" s="7">
        <v>122</v>
      </c>
      <c r="U16" s="6">
        <v>43669</v>
      </c>
      <c r="V16" s="7">
        <v>9845183166</v>
      </c>
      <c r="W16" s="10" t="s">
        <v>63</v>
      </c>
      <c r="X16" s="7" t="s">
        <v>64</v>
      </c>
      <c r="Y16" s="10" t="s">
        <v>65</v>
      </c>
      <c r="Z16" s="7" t="s">
        <v>36</v>
      </c>
      <c r="AA16" s="10" t="s">
        <v>58</v>
      </c>
      <c r="AB16" s="11">
        <f t="shared" si="1"/>
        <v>0.29980000000000001</v>
      </c>
    </row>
    <row r="17" spans="1:28" x14ac:dyDescent="0.35">
      <c r="A17" s="4">
        <v>5766</v>
      </c>
      <c r="B17" s="5" t="s">
        <v>52</v>
      </c>
      <c r="C17" s="6">
        <v>43669</v>
      </c>
      <c r="D17" s="7">
        <v>185</v>
      </c>
      <c r="E17" s="8" t="s">
        <v>38</v>
      </c>
      <c r="F17" s="7" t="s">
        <v>76</v>
      </c>
      <c r="G17" s="10" t="s">
        <v>77</v>
      </c>
      <c r="H17" s="7" t="str">
        <f>"00a133"</f>
        <v>00a133</v>
      </c>
      <c r="I17" s="6">
        <v>42894</v>
      </c>
      <c r="J17" s="7" t="str">
        <f>"000077"</f>
        <v>000077</v>
      </c>
      <c r="K17" s="6">
        <v>42916</v>
      </c>
      <c r="L17" s="7" t="str">
        <f>"000199"</f>
        <v>000199</v>
      </c>
      <c r="M17" s="6">
        <v>42916</v>
      </c>
      <c r="N17" s="7">
        <v>17</v>
      </c>
      <c r="O17" s="7" t="str">
        <f>"003719"</f>
        <v>003719</v>
      </c>
      <c r="P17" s="6">
        <v>43664</v>
      </c>
      <c r="Q17" s="11">
        <v>49.94</v>
      </c>
      <c r="R17" s="11">
        <v>8.2418999999999993</v>
      </c>
      <c r="S17" s="11">
        <v>41.698099999999997</v>
      </c>
      <c r="T17" s="7">
        <v>122</v>
      </c>
      <c r="U17" s="6">
        <v>43669</v>
      </c>
      <c r="V17" s="7">
        <v>9845183166</v>
      </c>
      <c r="W17" s="10" t="s">
        <v>63</v>
      </c>
      <c r="X17" s="7" t="s">
        <v>70</v>
      </c>
      <c r="Y17" s="10" t="s">
        <v>71</v>
      </c>
      <c r="Z17" s="7" t="s">
        <v>36</v>
      </c>
      <c r="AA17" s="10" t="s">
        <v>58</v>
      </c>
      <c r="AB17" s="11">
        <f t="shared" si="1"/>
        <v>0.49939999999999996</v>
      </c>
    </row>
    <row r="18" spans="1:28" x14ac:dyDescent="0.35">
      <c r="A18" s="4">
        <v>5767</v>
      </c>
      <c r="B18" s="5" t="s">
        <v>52</v>
      </c>
      <c r="C18" s="6">
        <v>43671</v>
      </c>
      <c r="D18" s="7">
        <v>185</v>
      </c>
      <c r="E18" s="8" t="s">
        <v>38</v>
      </c>
      <c r="F18" s="7" t="s">
        <v>78</v>
      </c>
      <c r="G18" s="10" t="s">
        <v>79</v>
      </c>
      <c r="H18" s="7" t="str">
        <f>"00145b"</f>
        <v>00145b</v>
      </c>
      <c r="I18" s="6">
        <v>42894</v>
      </c>
      <c r="J18" s="7" t="str">
        <f>"000075"</f>
        <v>000075</v>
      </c>
      <c r="K18" s="6">
        <v>42916</v>
      </c>
      <c r="L18" s="7" t="str">
        <f>"000196"</f>
        <v>000196</v>
      </c>
      <c r="M18" s="6">
        <v>42916</v>
      </c>
      <c r="N18" s="7">
        <v>17</v>
      </c>
      <c r="O18" s="7" t="str">
        <f>"003862"</f>
        <v>003862</v>
      </c>
      <c r="P18" s="6">
        <v>43666</v>
      </c>
      <c r="Q18" s="11">
        <v>29.99</v>
      </c>
      <c r="R18" s="11">
        <v>4.6589</v>
      </c>
      <c r="S18" s="11">
        <v>25.331099999999999</v>
      </c>
      <c r="T18" s="7">
        <v>125</v>
      </c>
      <c r="U18" s="6">
        <v>43671</v>
      </c>
      <c r="V18" s="7">
        <v>9845183166</v>
      </c>
      <c r="W18" s="10" t="s">
        <v>63</v>
      </c>
      <c r="X18" s="7" t="s">
        <v>64</v>
      </c>
      <c r="Y18" s="10" t="s">
        <v>65</v>
      </c>
      <c r="Z18" s="7" t="s">
        <v>36</v>
      </c>
      <c r="AA18" s="10" t="s">
        <v>58</v>
      </c>
      <c r="AB18" s="11">
        <f t="shared" si="1"/>
        <v>0.2999</v>
      </c>
    </row>
    <row r="19" spans="1:28" x14ac:dyDescent="0.35">
      <c r="A19" s="4">
        <v>5768</v>
      </c>
      <c r="B19" s="5" t="s">
        <v>52</v>
      </c>
      <c r="C19" s="6">
        <v>43671</v>
      </c>
      <c r="D19" s="7">
        <v>185</v>
      </c>
      <c r="E19" s="8" t="s">
        <v>38</v>
      </c>
      <c r="F19" s="7" t="s">
        <v>80</v>
      </c>
      <c r="G19" s="10" t="s">
        <v>81</v>
      </c>
      <c r="H19" s="7" t="str">
        <f>"00139a"</f>
        <v>00139a</v>
      </c>
      <c r="I19" s="6">
        <v>42894</v>
      </c>
      <c r="J19" s="7" t="str">
        <f>"000071"</f>
        <v>000071</v>
      </c>
      <c r="K19" s="6">
        <v>42916</v>
      </c>
      <c r="L19" s="7" t="str">
        <f>"000200"</f>
        <v>000200</v>
      </c>
      <c r="M19" s="6">
        <v>42916</v>
      </c>
      <c r="N19" s="7">
        <v>17</v>
      </c>
      <c r="O19" s="7" t="str">
        <f>"003863"</f>
        <v>003863</v>
      </c>
      <c r="P19" s="6">
        <v>43666</v>
      </c>
      <c r="Q19" s="11">
        <v>29.98</v>
      </c>
      <c r="R19" s="11">
        <v>4.9573</v>
      </c>
      <c r="S19" s="11">
        <v>25.0227</v>
      </c>
      <c r="T19" s="7">
        <v>125</v>
      </c>
      <c r="U19" s="6">
        <v>43671</v>
      </c>
      <c r="V19" s="7">
        <v>9845183166</v>
      </c>
      <c r="W19" s="10" t="s">
        <v>63</v>
      </c>
      <c r="X19" s="7" t="s">
        <v>64</v>
      </c>
      <c r="Y19" s="10" t="s">
        <v>65</v>
      </c>
      <c r="Z19" s="7" t="s">
        <v>36</v>
      </c>
      <c r="AA19" s="10" t="s">
        <v>58</v>
      </c>
      <c r="AB19" s="11">
        <f t="shared" si="1"/>
        <v>0.29980000000000001</v>
      </c>
    </row>
    <row r="20" spans="1:28" x14ac:dyDescent="0.35">
      <c r="A20" s="4">
        <v>5769</v>
      </c>
      <c r="B20" s="5" t="s">
        <v>52</v>
      </c>
      <c r="C20" s="6">
        <v>43676</v>
      </c>
      <c r="D20" s="7">
        <v>185</v>
      </c>
      <c r="E20" s="8" t="s">
        <v>38</v>
      </c>
      <c r="F20" s="7" t="s">
        <v>82</v>
      </c>
      <c r="G20" s="10" t="s">
        <v>83</v>
      </c>
      <c r="H20" s="7" t="str">
        <f>"000004"</f>
        <v>000004</v>
      </c>
      <c r="I20" s="6">
        <v>42983</v>
      </c>
      <c r="J20" s="7" t="str">
        <f>"000052"</f>
        <v>000052</v>
      </c>
      <c r="K20" s="6">
        <v>43160</v>
      </c>
      <c r="L20" s="7" t="str">
        <f>"000118"</f>
        <v>000118</v>
      </c>
      <c r="M20" s="6">
        <v>43161</v>
      </c>
      <c r="N20" s="7">
        <v>17</v>
      </c>
      <c r="O20" s="7" t="str">
        <f>"000346"</f>
        <v>000346</v>
      </c>
      <c r="P20" s="6">
        <v>43196</v>
      </c>
      <c r="Q20" s="11">
        <v>21.45825</v>
      </c>
      <c r="R20" s="11">
        <v>2.1458300000000001</v>
      </c>
      <c r="S20" s="11">
        <v>19.312419999999999</v>
      </c>
      <c r="T20" s="7">
        <v>134</v>
      </c>
      <c r="U20" s="6">
        <v>43676</v>
      </c>
      <c r="V20" s="7">
        <v>9742959595</v>
      </c>
      <c r="W20" s="10" t="s">
        <v>84</v>
      </c>
      <c r="X20" s="7" t="s">
        <v>85</v>
      </c>
      <c r="Y20" s="10" t="s">
        <v>86</v>
      </c>
      <c r="Z20" s="7" t="s">
        <v>36</v>
      </c>
      <c r="AA20" s="10" t="s">
        <v>58</v>
      </c>
      <c r="AB20" s="11">
        <f t="shared" si="1"/>
        <v>0.21458250000000001</v>
      </c>
    </row>
    <row r="21" spans="1:28" x14ac:dyDescent="0.35">
      <c r="A21" s="4">
        <v>5770</v>
      </c>
      <c r="B21" s="5" t="s">
        <v>87</v>
      </c>
      <c r="C21" s="6">
        <v>43679</v>
      </c>
      <c r="D21" s="7">
        <v>185</v>
      </c>
      <c r="E21" s="8" t="s">
        <v>38</v>
      </c>
      <c r="F21" s="7" t="s">
        <v>42</v>
      </c>
      <c r="G21" s="10" t="s">
        <v>43</v>
      </c>
      <c r="H21" s="7" t="str">
        <f>"000001"</f>
        <v>000001</v>
      </c>
      <c r="I21" s="6">
        <v>43191</v>
      </c>
      <c r="J21" s="7" t="str">
        <f>"000049"</f>
        <v>000049</v>
      </c>
      <c r="K21" s="6">
        <v>43782</v>
      </c>
      <c r="L21" s="7" t="str">
        <f>"000047"</f>
        <v>000047</v>
      </c>
      <c r="M21" s="6">
        <v>43783</v>
      </c>
      <c r="N21" s="7">
        <v>16</v>
      </c>
      <c r="O21" s="7" t="str">
        <f>"006347"</f>
        <v>006347</v>
      </c>
      <c r="P21" s="6">
        <v>43791</v>
      </c>
      <c r="Q21" s="11">
        <v>2.3689</v>
      </c>
      <c r="R21" s="11">
        <v>0.31491999999999998</v>
      </c>
      <c r="S21" s="11">
        <v>2.0539800000000001</v>
      </c>
      <c r="T21" s="7">
        <v>138</v>
      </c>
      <c r="U21" s="6">
        <v>43679</v>
      </c>
      <c r="V21" s="7">
        <v>9448510301</v>
      </c>
      <c r="W21" s="10" t="s">
        <v>44</v>
      </c>
      <c r="X21" s="7" t="s">
        <v>33</v>
      </c>
      <c r="Y21" s="10" t="s">
        <v>32</v>
      </c>
      <c r="Z21" s="7" t="s">
        <v>34</v>
      </c>
      <c r="AA21" s="10" t="s">
        <v>35</v>
      </c>
      <c r="AB21" s="11">
        <f t="shared" si="1"/>
        <v>2.3689000000000002E-2</v>
      </c>
    </row>
    <row r="22" spans="1:28" x14ac:dyDescent="0.35">
      <c r="A22" s="4">
        <v>5771</v>
      </c>
      <c r="B22" s="5" t="s">
        <v>87</v>
      </c>
      <c r="C22" s="6">
        <v>43685</v>
      </c>
      <c r="D22" s="7">
        <v>185</v>
      </c>
      <c r="E22" s="8" t="s">
        <v>38</v>
      </c>
      <c r="F22" s="7" t="s">
        <v>88</v>
      </c>
      <c r="G22" s="10" t="s">
        <v>89</v>
      </c>
      <c r="H22" s="7" t="str">
        <f>"000437"</f>
        <v>000437</v>
      </c>
      <c r="I22" s="6">
        <v>43178</v>
      </c>
      <c r="J22" s="7" t="str">
        <f>"000067"</f>
        <v>000067</v>
      </c>
      <c r="K22" s="6">
        <v>43291</v>
      </c>
      <c r="L22" s="7" t="str">
        <f>"000191"</f>
        <v>000191</v>
      </c>
      <c r="M22" s="6">
        <v>43312</v>
      </c>
      <c r="N22" s="7">
        <v>18</v>
      </c>
      <c r="O22" s="7" t="str">
        <f>"004260"</f>
        <v>004260</v>
      </c>
      <c r="P22" s="6">
        <v>43680</v>
      </c>
      <c r="Q22" s="11">
        <v>49.554000000000002</v>
      </c>
      <c r="R22" s="11">
        <v>6.2610000000000001</v>
      </c>
      <c r="S22" s="11">
        <v>43.292999999999999</v>
      </c>
      <c r="T22" s="7">
        <v>145</v>
      </c>
      <c r="U22" s="6">
        <v>43685</v>
      </c>
      <c r="V22" s="7">
        <v>9448475620</v>
      </c>
      <c r="W22" s="10" t="s">
        <v>55</v>
      </c>
      <c r="X22" s="7" t="s">
        <v>70</v>
      </c>
      <c r="Y22" s="10" t="s">
        <v>71</v>
      </c>
      <c r="Z22" s="7" t="s">
        <v>36</v>
      </c>
      <c r="AA22" s="10" t="s">
        <v>58</v>
      </c>
      <c r="AB22" s="11">
        <f t="shared" si="1"/>
        <v>0.49554000000000004</v>
      </c>
    </row>
    <row r="23" spans="1:28" x14ac:dyDescent="0.35">
      <c r="A23" s="4">
        <v>5772</v>
      </c>
      <c r="B23" s="5" t="s">
        <v>90</v>
      </c>
      <c r="C23" s="6">
        <v>43725</v>
      </c>
      <c r="D23" s="7">
        <v>185</v>
      </c>
      <c r="E23" s="8" t="s">
        <v>38</v>
      </c>
      <c r="F23" s="7" t="s">
        <v>91</v>
      </c>
      <c r="G23" s="10" t="s">
        <v>92</v>
      </c>
      <c r="H23" s="7" t="str">
        <f>"00140a"</f>
        <v>00140a</v>
      </c>
      <c r="I23" s="6">
        <v>42894</v>
      </c>
      <c r="J23" s="7" t="str">
        <f>"000069"</f>
        <v>000069</v>
      </c>
      <c r="K23" s="6">
        <v>42916</v>
      </c>
      <c r="L23" s="7" t="str">
        <f>"000194"</f>
        <v>000194</v>
      </c>
      <c r="M23" s="6">
        <v>42916</v>
      </c>
      <c r="N23" s="7">
        <v>17</v>
      </c>
      <c r="O23" s="7" t="str">
        <f>"004950"</f>
        <v>004950</v>
      </c>
      <c r="P23" s="6">
        <v>43717</v>
      </c>
      <c r="Q23" s="11">
        <v>24.99</v>
      </c>
      <c r="R23" s="11">
        <v>4.1294000000000004</v>
      </c>
      <c r="S23" s="11">
        <v>20.860600000000002</v>
      </c>
      <c r="T23" s="7">
        <v>190</v>
      </c>
      <c r="U23" s="6">
        <v>43725</v>
      </c>
      <c r="V23" s="7">
        <v>9845183166</v>
      </c>
      <c r="W23" s="10" t="s">
        <v>63</v>
      </c>
      <c r="X23" s="7" t="s">
        <v>64</v>
      </c>
      <c r="Y23" s="10" t="s">
        <v>65</v>
      </c>
      <c r="Z23" s="7" t="s">
        <v>36</v>
      </c>
      <c r="AA23" s="10" t="s">
        <v>58</v>
      </c>
      <c r="AB23" s="11">
        <f t="shared" si="1"/>
        <v>0.24989999999999998</v>
      </c>
    </row>
    <row r="24" spans="1:28" x14ac:dyDescent="0.35">
      <c r="A24" s="4">
        <v>5773</v>
      </c>
      <c r="B24" s="5" t="s">
        <v>93</v>
      </c>
      <c r="C24" s="6">
        <v>43757</v>
      </c>
      <c r="D24" s="4">
        <v>185</v>
      </c>
      <c r="E24" s="8" t="s">
        <v>38</v>
      </c>
      <c r="F24" s="7" t="s">
        <v>94</v>
      </c>
      <c r="G24" s="8" t="s">
        <v>95</v>
      </c>
      <c r="H24" s="7" t="str">
        <f>"000146"</f>
        <v>000146</v>
      </c>
      <c r="I24" s="6">
        <v>43081</v>
      </c>
      <c r="J24" s="7" t="str">
        <f>"000010"</f>
        <v>000010</v>
      </c>
      <c r="K24" s="6">
        <v>43215</v>
      </c>
      <c r="L24" s="7" t="str">
        <f>"000029"</f>
        <v>000029</v>
      </c>
      <c r="M24" s="6">
        <v>43220</v>
      </c>
      <c r="N24" s="7">
        <v>18</v>
      </c>
      <c r="O24" s="7" t="str">
        <f>"005593"</f>
        <v>005593</v>
      </c>
      <c r="P24" s="6">
        <v>43739</v>
      </c>
      <c r="Q24" s="9">
        <v>52.402700000000003</v>
      </c>
      <c r="R24" s="9">
        <v>6.6943000000000001</v>
      </c>
      <c r="S24" s="9">
        <v>45.708399999999997</v>
      </c>
      <c r="T24" s="7">
        <v>13</v>
      </c>
      <c r="U24" s="6">
        <v>43757</v>
      </c>
      <c r="V24" s="7">
        <v>9900218893</v>
      </c>
      <c r="W24" s="8" t="s">
        <v>96</v>
      </c>
      <c r="X24" s="7" t="s">
        <v>97</v>
      </c>
      <c r="Y24" s="8" t="s">
        <v>98</v>
      </c>
      <c r="Z24" s="7" t="s">
        <v>36</v>
      </c>
      <c r="AA24" s="8" t="s">
        <v>58</v>
      </c>
      <c r="AB24" s="9">
        <v>0.52402700000000002</v>
      </c>
    </row>
    <row r="25" spans="1:28" x14ac:dyDescent="0.35">
      <c r="A25" s="4">
        <v>5774</v>
      </c>
      <c r="B25" s="5" t="s">
        <v>93</v>
      </c>
      <c r="C25" s="6">
        <v>43757</v>
      </c>
      <c r="D25" s="4">
        <v>185</v>
      </c>
      <c r="E25" s="8" t="s">
        <v>38</v>
      </c>
      <c r="F25" s="7" t="s">
        <v>99</v>
      </c>
      <c r="G25" s="8" t="s">
        <v>100</v>
      </c>
      <c r="H25" s="7" t="str">
        <f>"000145"</f>
        <v>000145</v>
      </c>
      <c r="I25" s="6">
        <v>43081</v>
      </c>
      <c r="J25" s="7" t="str">
        <f>"000009"</f>
        <v>000009</v>
      </c>
      <c r="K25" s="6">
        <v>43215</v>
      </c>
      <c r="L25" s="7" t="str">
        <f>"000030"</f>
        <v>000030</v>
      </c>
      <c r="M25" s="6">
        <v>43220</v>
      </c>
      <c r="N25" s="7">
        <v>18</v>
      </c>
      <c r="O25" s="7" t="str">
        <f>"005594"</f>
        <v>005594</v>
      </c>
      <c r="P25" s="6">
        <v>43739</v>
      </c>
      <c r="Q25" s="9">
        <v>52.436</v>
      </c>
      <c r="R25" s="9">
        <v>6.6429999999999998</v>
      </c>
      <c r="S25" s="9">
        <v>45.792999999999999</v>
      </c>
      <c r="T25" s="7">
        <v>13</v>
      </c>
      <c r="U25" s="6">
        <v>43757</v>
      </c>
      <c r="V25" s="7">
        <v>9900218893</v>
      </c>
      <c r="W25" s="8" t="s">
        <v>96</v>
      </c>
      <c r="X25" s="7" t="s">
        <v>97</v>
      </c>
      <c r="Y25" s="8" t="s">
        <v>98</v>
      </c>
      <c r="Z25" s="7" t="s">
        <v>36</v>
      </c>
      <c r="AA25" s="8" t="s">
        <v>58</v>
      </c>
      <c r="AB25" s="9">
        <v>0.52436000000000005</v>
      </c>
    </row>
    <row r="26" spans="1:28" x14ac:dyDescent="0.35">
      <c r="A26" s="4">
        <v>5775</v>
      </c>
      <c r="B26" s="5" t="s">
        <v>101</v>
      </c>
      <c r="C26" s="6">
        <v>43783</v>
      </c>
      <c r="D26" s="4">
        <v>185</v>
      </c>
      <c r="E26" s="8" t="s">
        <v>38</v>
      </c>
      <c r="F26" s="7" t="s">
        <v>102</v>
      </c>
      <c r="G26" s="8" t="s">
        <v>103</v>
      </c>
      <c r="H26" s="7" t="str">
        <f>"000433"</f>
        <v>000433</v>
      </c>
      <c r="I26" s="6">
        <v>43172</v>
      </c>
      <c r="J26" s="7" t="str">
        <f>"000168"</f>
        <v>000168</v>
      </c>
      <c r="K26" s="6">
        <v>43545</v>
      </c>
      <c r="L26" s="7" t="str">
        <f>"000008"</f>
        <v>000008</v>
      </c>
      <c r="M26" s="6">
        <v>43575</v>
      </c>
      <c r="N26" s="7">
        <v>17</v>
      </c>
      <c r="O26" s="7" t="str">
        <f>"006213"</f>
        <v>006213</v>
      </c>
      <c r="P26" s="6">
        <v>43782</v>
      </c>
      <c r="Q26" s="9">
        <v>23.986999999999998</v>
      </c>
      <c r="R26" s="9">
        <v>1.3062400000000001</v>
      </c>
      <c r="S26" s="9">
        <v>22.680759999999999</v>
      </c>
      <c r="T26" s="7">
        <v>13</v>
      </c>
      <c r="U26" s="6">
        <v>43783</v>
      </c>
      <c r="V26" s="7">
        <v>9845154892</v>
      </c>
      <c r="W26" s="8" t="s">
        <v>104</v>
      </c>
      <c r="X26" s="7" t="s">
        <v>105</v>
      </c>
      <c r="Y26" s="8" t="s">
        <v>106</v>
      </c>
      <c r="Z26" s="7" t="s">
        <v>36</v>
      </c>
      <c r="AA26" s="8" t="s">
        <v>58</v>
      </c>
      <c r="AB26" s="9">
        <v>0.23986999999999997</v>
      </c>
    </row>
    <row r="27" spans="1:28" x14ac:dyDescent="0.35">
      <c r="A27" s="4">
        <v>5776</v>
      </c>
      <c r="B27" s="5" t="s">
        <v>101</v>
      </c>
      <c r="C27" s="6">
        <v>43788</v>
      </c>
      <c r="D27" s="4">
        <v>185</v>
      </c>
      <c r="E27" s="8" t="s">
        <v>38</v>
      </c>
      <c r="F27" s="7" t="s">
        <v>107</v>
      </c>
      <c r="G27" s="8" t="s">
        <v>108</v>
      </c>
      <c r="H27" s="7" t="str">
        <f>"00137a"</f>
        <v>00137a</v>
      </c>
      <c r="I27" s="6">
        <v>42894</v>
      </c>
      <c r="J27" s="7" t="str">
        <f>"000073"</f>
        <v>000073</v>
      </c>
      <c r="K27" s="6">
        <v>42916</v>
      </c>
      <c r="L27" s="7" t="str">
        <f>"000198"</f>
        <v>000198</v>
      </c>
      <c r="M27" s="6">
        <v>42916</v>
      </c>
      <c r="N27" s="7">
        <v>17</v>
      </c>
      <c r="O27" s="7" t="str">
        <f>"006173"</f>
        <v>006173</v>
      </c>
      <c r="P27" s="6">
        <v>43781</v>
      </c>
      <c r="Q27" s="9">
        <v>24.99</v>
      </c>
      <c r="R27" s="9">
        <v>4.1294000000000004</v>
      </c>
      <c r="S27" s="9">
        <v>20.860600000000002</v>
      </c>
      <c r="T27" s="7">
        <v>13</v>
      </c>
      <c r="U27" s="6">
        <v>43788</v>
      </c>
      <c r="V27" s="7">
        <v>9845183166</v>
      </c>
      <c r="W27" s="8" t="s">
        <v>63</v>
      </c>
      <c r="X27" s="7" t="s">
        <v>70</v>
      </c>
      <c r="Y27" s="8" t="s">
        <v>71</v>
      </c>
      <c r="Z27" s="7" t="s">
        <v>36</v>
      </c>
      <c r="AA27" s="8" t="s">
        <v>58</v>
      </c>
      <c r="AB27" s="9">
        <v>0.24989999999999998</v>
      </c>
    </row>
    <row r="28" spans="1:28" x14ac:dyDescent="0.35">
      <c r="A28" s="4">
        <v>5777</v>
      </c>
      <c r="B28" s="5" t="s">
        <v>101</v>
      </c>
      <c r="C28" s="6">
        <v>43795</v>
      </c>
      <c r="D28" s="4">
        <v>185</v>
      </c>
      <c r="E28" s="8" t="s">
        <v>38</v>
      </c>
      <c r="F28" s="7" t="s">
        <v>109</v>
      </c>
      <c r="G28" s="8" t="s">
        <v>110</v>
      </c>
      <c r="H28" s="7" t="str">
        <f>"000065"</f>
        <v>000065</v>
      </c>
      <c r="I28" s="6">
        <v>43245</v>
      </c>
      <c r="J28" s="7" t="str">
        <f>"000003"</f>
        <v>000003</v>
      </c>
      <c r="K28" s="6">
        <v>43245</v>
      </c>
      <c r="L28" s="7" t="str">
        <f>"000010"</f>
        <v>000010</v>
      </c>
      <c r="M28" s="6">
        <v>43259</v>
      </c>
      <c r="N28" s="7">
        <v>17</v>
      </c>
      <c r="O28" s="7" t="str">
        <f>"006233"</f>
        <v>006233</v>
      </c>
      <c r="P28" s="6">
        <v>43783</v>
      </c>
      <c r="Q28" s="9">
        <v>6.6530800000000001</v>
      </c>
      <c r="R28" s="9">
        <v>0.29277999999999998</v>
      </c>
      <c r="S28" s="9">
        <v>6.3602999999999996</v>
      </c>
      <c r="T28" s="7">
        <v>13</v>
      </c>
      <c r="U28" s="6">
        <v>43795</v>
      </c>
      <c r="V28" s="7">
        <v>7892710027</v>
      </c>
      <c r="W28" s="8" t="s">
        <v>111</v>
      </c>
      <c r="X28" s="7" t="s">
        <v>30</v>
      </c>
      <c r="Y28" s="8" t="s">
        <v>31</v>
      </c>
      <c r="Z28" s="7" t="s">
        <v>34</v>
      </c>
      <c r="AA28" s="8" t="s">
        <v>35</v>
      </c>
      <c r="AB28" s="9">
        <v>6.6530800000000001E-2</v>
      </c>
    </row>
    <row r="29" spans="1:28" x14ac:dyDescent="0.35">
      <c r="A29" s="4">
        <v>5778</v>
      </c>
      <c r="B29" s="5" t="s">
        <v>101</v>
      </c>
      <c r="C29" s="6">
        <v>43795</v>
      </c>
      <c r="D29" s="4">
        <v>185</v>
      </c>
      <c r="E29" s="8" t="s">
        <v>38</v>
      </c>
      <c r="F29" s="7" t="s">
        <v>42</v>
      </c>
      <c r="G29" s="8" t="s">
        <v>43</v>
      </c>
      <c r="H29" s="7" t="str">
        <f>"000001"</f>
        <v>000001</v>
      </c>
      <c r="I29" s="6">
        <v>43191</v>
      </c>
      <c r="J29" s="7" t="str">
        <f>"000049"</f>
        <v>000049</v>
      </c>
      <c r="K29" s="6">
        <v>43782</v>
      </c>
      <c r="L29" s="7" t="str">
        <f>"000047"</f>
        <v>000047</v>
      </c>
      <c r="M29" s="6">
        <v>43783</v>
      </c>
      <c r="N29" s="7">
        <v>16</v>
      </c>
      <c r="O29" s="7" t="str">
        <f>"006347"</f>
        <v>006347</v>
      </c>
      <c r="P29" s="6">
        <v>43791</v>
      </c>
      <c r="Q29" s="9">
        <v>4.7378099999999996</v>
      </c>
      <c r="R29" s="9">
        <v>0.70906000000000002</v>
      </c>
      <c r="S29" s="9">
        <v>4.0287499999999996</v>
      </c>
      <c r="T29" s="7">
        <v>13</v>
      </c>
      <c r="U29" s="6">
        <v>43795</v>
      </c>
      <c r="V29" s="7">
        <v>9448510301</v>
      </c>
      <c r="W29" s="8" t="s">
        <v>44</v>
      </c>
      <c r="X29" s="7" t="s">
        <v>33</v>
      </c>
      <c r="Y29" s="8" t="s">
        <v>32</v>
      </c>
      <c r="Z29" s="7" t="s">
        <v>34</v>
      </c>
      <c r="AA29" s="8" t="s">
        <v>35</v>
      </c>
      <c r="AB29" s="9">
        <v>4.7378099999999999E-2</v>
      </c>
    </row>
    <row r="30" spans="1:28" x14ac:dyDescent="0.35">
      <c r="A30" s="4">
        <v>5779</v>
      </c>
      <c r="B30" s="5" t="s">
        <v>112</v>
      </c>
      <c r="C30" s="6">
        <v>43823</v>
      </c>
      <c r="D30" s="4">
        <v>185</v>
      </c>
      <c r="E30" s="8" t="s">
        <v>38</v>
      </c>
      <c r="F30" s="7" t="s">
        <v>113</v>
      </c>
      <c r="G30" s="8" t="s">
        <v>114</v>
      </c>
      <c r="H30" s="7" t="str">
        <f>"000061"</f>
        <v>000061</v>
      </c>
      <c r="I30" s="6">
        <v>43306</v>
      </c>
      <c r="J30" s="7" t="str">
        <f>"000047"</f>
        <v>000047</v>
      </c>
      <c r="K30" s="6">
        <v>43707</v>
      </c>
      <c r="L30" s="7" t="str">
        <f>"000177"</f>
        <v>000177</v>
      </c>
      <c r="M30" s="6">
        <v>43732</v>
      </c>
      <c r="N30" s="7">
        <v>18</v>
      </c>
      <c r="O30" s="7" t="str">
        <f>"006929"</f>
        <v>006929</v>
      </c>
      <c r="P30" s="6">
        <v>43822</v>
      </c>
      <c r="Q30" s="9">
        <v>55.52</v>
      </c>
      <c r="R30" s="9">
        <v>3.2494200000000002</v>
      </c>
      <c r="S30" s="9">
        <v>52.270580000000002</v>
      </c>
      <c r="T30" s="7">
        <v>13</v>
      </c>
      <c r="U30" s="6">
        <v>43823</v>
      </c>
      <c r="V30" s="7">
        <v>9845900660</v>
      </c>
      <c r="W30" s="8" t="s">
        <v>115</v>
      </c>
      <c r="X30" s="7" t="s">
        <v>70</v>
      </c>
      <c r="Y30" s="8" t="s">
        <v>71</v>
      </c>
      <c r="Z30" s="7" t="s">
        <v>36</v>
      </c>
      <c r="AA30" s="8" t="s">
        <v>58</v>
      </c>
      <c r="AB30" s="9">
        <v>0.55520000000000003</v>
      </c>
    </row>
    <row r="31" spans="1:28" x14ac:dyDescent="0.35">
      <c r="A31" s="4">
        <v>5780</v>
      </c>
      <c r="B31" s="5" t="s">
        <v>112</v>
      </c>
      <c r="C31" s="6">
        <v>43823</v>
      </c>
      <c r="D31" s="4">
        <v>185</v>
      </c>
      <c r="E31" s="8" t="s">
        <v>38</v>
      </c>
      <c r="F31" s="7" t="s">
        <v>116</v>
      </c>
      <c r="G31" s="8" t="s">
        <v>117</v>
      </c>
      <c r="H31" s="7" t="str">
        <f>"000066"</f>
        <v>000066</v>
      </c>
      <c r="I31" s="6">
        <v>43306</v>
      </c>
      <c r="J31" s="7" t="str">
        <f>"000045"</f>
        <v>000045</v>
      </c>
      <c r="K31" s="6">
        <v>43707</v>
      </c>
      <c r="L31" s="7" t="str">
        <f>"000179"</f>
        <v>000179</v>
      </c>
      <c r="M31" s="6">
        <v>43732</v>
      </c>
      <c r="N31" s="7">
        <v>18</v>
      </c>
      <c r="O31" s="7" t="str">
        <f>"006930"</f>
        <v>006930</v>
      </c>
      <c r="P31" s="6">
        <v>43822</v>
      </c>
      <c r="Q31" s="9">
        <v>29.016999999999999</v>
      </c>
      <c r="R31" s="9">
        <v>1.6956599999999999</v>
      </c>
      <c r="S31" s="9">
        <v>27.321339999999999</v>
      </c>
      <c r="T31" s="7">
        <v>13</v>
      </c>
      <c r="U31" s="6">
        <v>43823</v>
      </c>
      <c r="V31" s="7">
        <v>9845900660</v>
      </c>
      <c r="W31" s="8" t="s">
        <v>115</v>
      </c>
      <c r="X31" s="7" t="s">
        <v>118</v>
      </c>
      <c r="Y31" s="8" t="s">
        <v>119</v>
      </c>
      <c r="Z31" s="7" t="s">
        <v>36</v>
      </c>
      <c r="AA31" s="8" t="s">
        <v>58</v>
      </c>
      <c r="AB31" s="9">
        <v>0.29016999999999998</v>
      </c>
    </row>
    <row r="32" spans="1:28" x14ac:dyDescent="0.35">
      <c r="A32" s="4">
        <v>5781</v>
      </c>
      <c r="B32" s="5" t="s">
        <v>112</v>
      </c>
      <c r="C32" s="6">
        <v>43823</v>
      </c>
      <c r="D32" s="4">
        <v>185</v>
      </c>
      <c r="E32" s="8" t="s">
        <v>38</v>
      </c>
      <c r="F32" s="7" t="s">
        <v>120</v>
      </c>
      <c r="G32" s="8" t="s">
        <v>121</v>
      </c>
      <c r="H32" s="7" t="str">
        <f>"000064"</f>
        <v>000064</v>
      </c>
      <c r="I32" s="6">
        <v>43306</v>
      </c>
      <c r="J32" s="7" t="str">
        <f>"000050"</f>
        <v>000050</v>
      </c>
      <c r="K32" s="6">
        <v>43707</v>
      </c>
      <c r="L32" s="7" t="str">
        <f>"000172"</f>
        <v>000172</v>
      </c>
      <c r="M32" s="6">
        <v>43732</v>
      </c>
      <c r="N32" s="7">
        <v>18</v>
      </c>
      <c r="O32" s="7" t="str">
        <f>"006931"</f>
        <v>006931</v>
      </c>
      <c r="P32" s="6">
        <v>43822</v>
      </c>
      <c r="Q32" s="9">
        <v>101.93</v>
      </c>
      <c r="R32" s="9">
        <v>5.9107799999999999</v>
      </c>
      <c r="S32" s="9">
        <v>96.019220000000004</v>
      </c>
      <c r="T32" s="7">
        <v>13</v>
      </c>
      <c r="U32" s="6">
        <v>43823</v>
      </c>
      <c r="V32" s="7">
        <v>9845900660</v>
      </c>
      <c r="W32" s="8" t="s">
        <v>115</v>
      </c>
      <c r="X32" s="7" t="s">
        <v>118</v>
      </c>
      <c r="Y32" s="8" t="s">
        <v>119</v>
      </c>
      <c r="Z32" s="7" t="s">
        <v>36</v>
      </c>
      <c r="AA32" s="8" t="s">
        <v>58</v>
      </c>
      <c r="AB32" s="9">
        <v>1.0193000000000001</v>
      </c>
    </row>
    <row r="33" spans="1:28" x14ac:dyDescent="0.35">
      <c r="A33" s="4">
        <v>5782</v>
      </c>
      <c r="B33" s="5" t="s">
        <v>112</v>
      </c>
      <c r="C33" s="6">
        <v>43823</v>
      </c>
      <c r="D33" s="4">
        <v>185</v>
      </c>
      <c r="E33" s="8" t="s">
        <v>38</v>
      </c>
      <c r="F33" s="7" t="s">
        <v>122</v>
      </c>
      <c r="G33" s="8" t="s">
        <v>123</v>
      </c>
      <c r="H33" s="7" t="str">
        <f>"000063"</f>
        <v>000063</v>
      </c>
      <c r="I33" s="6">
        <v>43306</v>
      </c>
      <c r="J33" s="7" t="str">
        <f>"000051"</f>
        <v>000051</v>
      </c>
      <c r="K33" s="6">
        <v>43707</v>
      </c>
      <c r="L33" s="7" t="str">
        <f>"000173"</f>
        <v>000173</v>
      </c>
      <c r="M33" s="6">
        <v>43732</v>
      </c>
      <c r="N33" s="7">
        <v>18</v>
      </c>
      <c r="O33" s="7" t="str">
        <f>"006932"</f>
        <v>006932</v>
      </c>
      <c r="P33" s="6">
        <v>43822</v>
      </c>
      <c r="Q33" s="9">
        <v>103.16</v>
      </c>
      <c r="R33" s="9">
        <v>6.5703399999999998</v>
      </c>
      <c r="S33" s="9">
        <v>96.589659999999995</v>
      </c>
      <c r="T33" s="7">
        <v>13</v>
      </c>
      <c r="U33" s="6">
        <v>43823</v>
      </c>
      <c r="V33" s="7">
        <v>9845900660</v>
      </c>
      <c r="W33" s="8" t="s">
        <v>115</v>
      </c>
      <c r="X33" s="7" t="s">
        <v>124</v>
      </c>
      <c r="Y33" s="8" t="s">
        <v>125</v>
      </c>
      <c r="Z33" s="7" t="s">
        <v>36</v>
      </c>
      <c r="AA33" s="8" t="s">
        <v>58</v>
      </c>
      <c r="AB33" s="9">
        <v>1.0316000000000001</v>
      </c>
    </row>
    <row r="34" spans="1:28" x14ac:dyDescent="0.35">
      <c r="A34" s="4">
        <v>5783</v>
      </c>
      <c r="B34" s="5" t="s">
        <v>112</v>
      </c>
      <c r="C34" s="6">
        <v>43823</v>
      </c>
      <c r="D34" s="4">
        <v>185</v>
      </c>
      <c r="E34" s="8" t="s">
        <v>38</v>
      </c>
      <c r="F34" s="7" t="s">
        <v>126</v>
      </c>
      <c r="G34" s="8" t="s">
        <v>127</v>
      </c>
      <c r="H34" s="7" t="str">
        <f>"000065"</f>
        <v>000065</v>
      </c>
      <c r="I34" s="6">
        <v>43306</v>
      </c>
      <c r="J34" s="7" t="str">
        <f>"000046"</f>
        <v>000046</v>
      </c>
      <c r="K34" s="6">
        <v>43707</v>
      </c>
      <c r="L34" s="7" t="str">
        <f>"000178"</f>
        <v>000178</v>
      </c>
      <c r="M34" s="6">
        <v>43732</v>
      </c>
      <c r="N34" s="7">
        <v>18</v>
      </c>
      <c r="O34" s="7" t="str">
        <f>"006933"</f>
        <v>006933</v>
      </c>
      <c r="P34" s="6">
        <v>43822</v>
      </c>
      <c r="Q34" s="9">
        <v>57.67</v>
      </c>
      <c r="R34" s="9">
        <v>3.09762</v>
      </c>
      <c r="S34" s="9">
        <v>54.572380000000003</v>
      </c>
      <c r="T34" s="7">
        <v>13</v>
      </c>
      <c r="U34" s="6">
        <v>43823</v>
      </c>
      <c r="V34" s="7">
        <v>9845900660</v>
      </c>
      <c r="W34" s="8" t="s">
        <v>115</v>
      </c>
      <c r="X34" s="7" t="s">
        <v>118</v>
      </c>
      <c r="Y34" s="8" t="s">
        <v>119</v>
      </c>
      <c r="Z34" s="7" t="s">
        <v>36</v>
      </c>
      <c r="AA34" s="8" t="s">
        <v>58</v>
      </c>
      <c r="AB34" s="9">
        <v>0.57669999999999999</v>
      </c>
    </row>
    <row r="35" spans="1:28" x14ac:dyDescent="0.35">
      <c r="A35" s="4">
        <v>5784</v>
      </c>
      <c r="B35" s="5" t="s">
        <v>112</v>
      </c>
      <c r="C35" s="6">
        <v>43823</v>
      </c>
      <c r="D35" s="4">
        <v>185</v>
      </c>
      <c r="E35" s="8" t="s">
        <v>38</v>
      </c>
      <c r="F35" s="7" t="s">
        <v>128</v>
      </c>
      <c r="G35" s="8" t="s">
        <v>129</v>
      </c>
      <c r="H35" s="7" t="str">
        <f>"000067"</f>
        <v>000067</v>
      </c>
      <c r="I35" s="6">
        <v>43306</v>
      </c>
      <c r="J35" s="7" t="str">
        <f>"000044"</f>
        <v>000044</v>
      </c>
      <c r="K35" s="6">
        <v>43707</v>
      </c>
      <c r="L35" s="7" t="str">
        <f>"000174"</f>
        <v>000174</v>
      </c>
      <c r="M35" s="6">
        <v>43732</v>
      </c>
      <c r="N35" s="7">
        <v>18</v>
      </c>
      <c r="O35" s="7" t="str">
        <f>"006934"</f>
        <v>006934</v>
      </c>
      <c r="P35" s="6">
        <v>43822</v>
      </c>
      <c r="Q35" s="9">
        <v>23.852</v>
      </c>
      <c r="R35" s="9">
        <v>1.2220200000000001</v>
      </c>
      <c r="S35" s="9">
        <v>22.62998</v>
      </c>
      <c r="T35" s="7">
        <v>13</v>
      </c>
      <c r="U35" s="6">
        <v>43823</v>
      </c>
      <c r="V35" s="7">
        <v>9845900660</v>
      </c>
      <c r="W35" s="8" t="s">
        <v>115</v>
      </c>
      <c r="X35" s="7" t="s">
        <v>118</v>
      </c>
      <c r="Y35" s="8" t="s">
        <v>119</v>
      </c>
      <c r="Z35" s="7" t="s">
        <v>36</v>
      </c>
      <c r="AA35" s="8" t="s">
        <v>58</v>
      </c>
      <c r="AB35" s="9">
        <v>0.23852000000000001</v>
      </c>
    </row>
    <row r="36" spans="1:28" x14ac:dyDescent="0.35">
      <c r="A36" s="4">
        <v>5785</v>
      </c>
      <c r="B36" s="5" t="s">
        <v>112</v>
      </c>
      <c r="C36" s="6">
        <v>43823</v>
      </c>
      <c r="D36" s="4">
        <v>185</v>
      </c>
      <c r="E36" s="8" t="s">
        <v>38</v>
      </c>
      <c r="F36" s="7" t="s">
        <v>130</v>
      </c>
      <c r="G36" s="8" t="s">
        <v>131</v>
      </c>
      <c r="H36" s="7" t="str">
        <f>"000060"</f>
        <v>000060</v>
      </c>
      <c r="I36" s="6">
        <v>43306</v>
      </c>
      <c r="J36" s="7" t="str">
        <f>"000049"</f>
        <v>000049</v>
      </c>
      <c r="K36" s="6">
        <v>43707</v>
      </c>
      <c r="L36" s="7" t="str">
        <f>"000175"</f>
        <v>000175</v>
      </c>
      <c r="M36" s="6">
        <v>43732</v>
      </c>
      <c r="N36" s="7">
        <v>18</v>
      </c>
      <c r="O36" s="7" t="str">
        <f>"006935"</f>
        <v>006935</v>
      </c>
      <c r="P36" s="6">
        <v>43822</v>
      </c>
      <c r="Q36" s="9">
        <v>53.104999999999997</v>
      </c>
      <c r="R36" s="9">
        <v>3.1238999999999999</v>
      </c>
      <c r="S36" s="9">
        <v>49.981099999999998</v>
      </c>
      <c r="T36" s="7">
        <v>13</v>
      </c>
      <c r="U36" s="6">
        <v>43823</v>
      </c>
      <c r="V36" s="7">
        <v>9845900660</v>
      </c>
      <c r="W36" s="8" t="s">
        <v>115</v>
      </c>
      <c r="X36" s="7" t="s">
        <v>70</v>
      </c>
      <c r="Y36" s="8" t="s">
        <v>71</v>
      </c>
      <c r="Z36" s="7" t="s">
        <v>36</v>
      </c>
      <c r="AA36" s="8" t="s">
        <v>58</v>
      </c>
      <c r="AB36" s="9">
        <v>0.53105000000000002</v>
      </c>
    </row>
    <row r="37" spans="1:28" x14ac:dyDescent="0.35">
      <c r="A37" s="4">
        <v>5786</v>
      </c>
      <c r="B37" s="5" t="s">
        <v>112</v>
      </c>
      <c r="C37" s="6">
        <v>43823</v>
      </c>
      <c r="D37" s="4">
        <v>185</v>
      </c>
      <c r="E37" s="8" t="s">
        <v>38</v>
      </c>
      <c r="F37" s="7" t="s">
        <v>132</v>
      </c>
      <c r="G37" s="8" t="s">
        <v>133</v>
      </c>
      <c r="H37" s="7" t="str">
        <f>"000062"</f>
        <v>000062</v>
      </c>
      <c r="I37" s="6">
        <v>43306</v>
      </c>
      <c r="J37" s="7" t="str">
        <f>"000048"</f>
        <v>000048</v>
      </c>
      <c r="K37" s="6">
        <v>43707</v>
      </c>
      <c r="L37" s="7" t="str">
        <f>"000176"</f>
        <v>000176</v>
      </c>
      <c r="M37" s="6">
        <v>43732</v>
      </c>
      <c r="N37" s="7">
        <v>18</v>
      </c>
      <c r="O37" s="7" t="str">
        <f>"006936"</f>
        <v>006936</v>
      </c>
      <c r="P37" s="6">
        <v>43822</v>
      </c>
      <c r="Q37" s="9">
        <v>64.27</v>
      </c>
      <c r="R37" s="9">
        <v>3.8830800000000001</v>
      </c>
      <c r="S37" s="9">
        <v>60.386920000000003</v>
      </c>
      <c r="T37" s="7">
        <v>13</v>
      </c>
      <c r="U37" s="6">
        <v>43823</v>
      </c>
      <c r="V37" s="7">
        <v>9845900660</v>
      </c>
      <c r="W37" s="8" t="s">
        <v>115</v>
      </c>
      <c r="X37" s="7" t="s">
        <v>70</v>
      </c>
      <c r="Y37" s="8" t="s">
        <v>71</v>
      </c>
      <c r="Z37" s="7" t="s">
        <v>36</v>
      </c>
      <c r="AA37" s="8" t="s">
        <v>58</v>
      </c>
      <c r="AB37" s="9">
        <v>0.64269999999999994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2019-07-02T06:05:12Z</dcterms:created>
  <dcterms:modified xsi:type="dcterms:W3CDTF">2020-01-30T07:06:07Z</dcterms:modified>
</cp:coreProperties>
</file>