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4" i="1" l="1"/>
  <c r="L44" i="1"/>
  <c r="J44" i="1"/>
  <c r="H44" i="1"/>
  <c r="O43" i="1"/>
  <c r="L43" i="1"/>
  <c r="J43" i="1"/>
  <c r="H43" i="1"/>
  <c r="O42" i="1"/>
  <c r="L42" i="1"/>
  <c r="J42" i="1"/>
  <c r="H42" i="1"/>
  <c r="O41" i="1"/>
  <c r="L41" i="1"/>
  <c r="J41" i="1"/>
  <c r="H41" i="1"/>
  <c r="O40" i="1"/>
  <c r="L40" i="1"/>
  <c r="J40" i="1"/>
  <c r="H40" i="1"/>
  <c r="O39" i="1"/>
  <c r="L39" i="1"/>
  <c r="J39" i="1"/>
  <c r="H39" i="1"/>
  <c r="O38" i="1"/>
  <c r="L38" i="1"/>
  <c r="J38" i="1"/>
  <c r="H38" i="1"/>
  <c r="O37" i="1"/>
  <c r="L37" i="1"/>
  <c r="J37" i="1"/>
  <c r="H37" i="1"/>
  <c r="O36" i="1"/>
  <c r="L36" i="1"/>
  <c r="J36" i="1"/>
  <c r="H36" i="1"/>
  <c r="O35" i="1"/>
  <c r="L35" i="1"/>
  <c r="J35" i="1"/>
  <c r="H35" i="1"/>
  <c r="O34" i="1"/>
  <c r="L34" i="1"/>
  <c r="J34" i="1"/>
  <c r="H34" i="1"/>
  <c r="O33" i="1"/>
  <c r="L33" i="1"/>
  <c r="J33" i="1"/>
  <c r="H33" i="1"/>
  <c r="O32" i="1"/>
  <c r="L32" i="1"/>
  <c r="J32" i="1"/>
  <c r="H32" i="1"/>
  <c r="O31" i="1"/>
  <c r="L31" i="1"/>
  <c r="J31" i="1"/>
  <c r="H31"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O18" i="1"/>
  <c r="L18" i="1"/>
  <c r="J18" i="1"/>
  <c r="H18" i="1"/>
  <c r="O17" i="1"/>
  <c r="L17" i="1"/>
  <c r="J17" i="1"/>
  <c r="H17"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<sst xmlns="http://schemas.openxmlformats.org/spreadsheetml/2006/main" count="415" uniqueCount="172">
  <si>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</si>
  <si>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</si>
  <si>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</si>
  <si>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</si>
  <si>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</si>
  <si>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</si>
  <si>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</si>
  <si>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</si>
  <si>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</si>
  <si>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</si>
  <si>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</si>
  <si>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</si>
  <si>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</si>
  <si>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</si>
  <si>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</si>
  <si>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</si>
  <si>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</si>
  <si>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</si>
  <si>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</si>
  <si>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</si>
  <si>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</si>
  <si>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</si>
  <si>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</si>
  <si>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</si>
  <si>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</si>
  <si>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</si>
  <si>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</si>
  <si>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</si>
  <si>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</si>
  <si>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</si>
  <si>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May</t>
  </si>
  <si>
    <t>P3158</t>
  </si>
  <si>
    <t>SIP Infrastructure Project works</t>
  </si>
  <si>
    <t>P0190</t>
  </si>
  <si>
    <t>Works sanctioned by Hon Mayor</t>
  </si>
  <si>
    <t>KRIDL</t>
  </si>
  <si>
    <t>P1802</t>
  </si>
  <si>
    <t>Water Supply New Areas</t>
  </si>
  <si>
    <t>P2178</t>
  </si>
  <si>
    <t>Works sanctioned by Dy. Mayor</t>
  </si>
  <si>
    <t>ddo313</t>
  </si>
  <si>
    <t xml:space="preserve"> Chief Engineer SWD Central Zone</t>
  </si>
  <si>
    <t>P3173</t>
  </si>
  <si>
    <t>Special Development works in ward No.124, 185, 98, 188, 10, 14, 16, 30, 28, 37, 42, 130, 159, 65, 66, 73, 79, 80, 90, 95, 94, 89, 108, 111, 115, 97, 105, 131, 133, 119, 125, 137, 143, 124, 158, 138, 83, 166, 182, 129, 165, 161, 04, 88, 27, 31, 32, 52, 44, 26, 07, 183, 178, 187 (Rs.100 lakhs per ward)</t>
  </si>
  <si>
    <t>ddo439</t>
  </si>
  <si>
    <t xml:space="preserve"> Executive Engineer Electrical Division Bomanahalli Zone</t>
  </si>
  <si>
    <t>ddo442</t>
  </si>
  <si>
    <t xml:space="preserve"> Assistant Executive Engineer Arekere  sub Division Bomanahalli Zone</t>
  </si>
  <si>
    <t>M/s. Technical Manager-01 KRIDL</t>
  </si>
  <si>
    <t>Puttena Halli</t>
  </si>
  <si>
    <t>187-17-000033</t>
  </si>
  <si>
    <t>Providing RCC Drain and Asphalting to the Roads at Venkatadri layout 1st cross road near on Mobile road in ward no 187 Puttenahalli</t>
  </si>
  <si>
    <t>187-17-000048</t>
  </si>
  <si>
    <t>Providing and asphalting to roads at Nanjundeshwara layout in ward no 187 Puttenahalli</t>
  </si>
  <si>
    <t>187-17-000049</t>
  </si>
  <si>
    <t>Providing cement concrete pavements to roads puttenahalli in ward no 187 Puttenahalli</t>
  </si>
  <si>
    <t>187-17-000036</t>
  </si>
  <si>
    <t>Asphalting to roads at Vinayaka Nagara Cross roads in ward no 187 Puttenahalli</t>
  </si>
  <si>
    <t>187-18-000058</t>
  </si>
  <si>
    <t xml:space="preserve">Providing LED Street lights in Vinayakanagara and associated layouts at ward no 187 </t>
  </si>
  <si>
    <t>187-18-000059</t>
  </si>
  <si>
    <t>Providing LED Street lights in Panduranganagara and associated layouts at ward no 187</t>
  </si>
  <si>
    <t>187-18-000060</t>
  </si>
  <si>
    <t xml:space="preserve">Providing LED Street lights inVenkatadri Layout and associated layouts at ward no 187 </t>
  </si>
  <si>
    <t>187-18-000061</t>
  </si>
  <si>
    <t xml:space="preserve">Providing LED Street lights in SMS Layout and associated layouts at ward no 187 </t>
  </si>
  <si>
    <t>187-17-000011</t>
  </si>
  <si>
    <t>Providing LED street lights-Sodium vapour street lights and control switches with allied accessories in Puttenahalli BOB colony Astalakshmi layout Silver Oaklayout and associated areas</t>
  </si>
  <si>
    <t>M/s.Executive Engineer-01 KRIDL</t>
  </si>
  <si>
    <t>187-17-000010</t>
  </si>
  <si>
    <t>Providing LED street lights-Sodium vapour street lights and control switches with allied accessories in J P Nagara 5th phase Vinayaka Nagara Doresani palya Panduranga nagara and associated areas</t>
  </si>
  <si>
    <t>187-17-000035</t>
  </si>
  <si>
    <t>Providing RCC Drain and Asphalting to the Roads at Venkatadri layout Appollo Hospital Back Side Roads in ward no 187 Puttenahalli</t>
  </si>
  <si>
    <t>187-17-000034</t>
  </si>
  <si>
    <t>Providing RCC Drain and Asphalting to the Roads at Venkatadri layout 2nd cross road near on Mobile road in ward no 187 Puttenahalli</t>
  </si>
  <si>
    <t>187-18-000056</t>
  </si>
  <si>
    <t>PROVIDING AND DRILLING THE BOREWELL ERECTION OF PUMPSET AND ELECTRICAL CONECTION IN WARD NO 187</t>
  </si>
  <si>
    <t xml:space="preserve">RAMESH K </t>
  </si>
  <si>
    <t>187-18-000057</t>
  </si>
  <si>
    <t>PROVIDING WATER PIPE LINE IN WARD NO 187</t>
  </si>
  <si>
    <t>Ramesh k</t>
  </si>
  <si>
    <t>307-15-000019</t>
  </si>
  <si>
    <t xml:space="preserve">Construction of RCC lead-off drain behind BDA park near JP Nagara club joining SWD BH-517 at Nanjundeshwara Layout in Puttenahalli ward no.187 of Bommanahalli Zone  W N 187 Puttenahalli ward  </t>
  </si>
  <si>
    <t>H.J.Gopi</t>
  </si>
  <si>
    <t>P2350</t>
  </si>
  <si>
    <t>Remodelling of Challagatta Valley (Non Jnnurm Works</t>
  </si>
  <si>
    <t>187-17-000037</t>
  </si>
  <si>
    <t xml:space="preserve">Construction of CC Drain at  Main Road  S.M.S Layout in ward no 187 Puttenahalli </t>
  </si>
  <si>
    <t>C G Chandrappa</t>
  </si>
  <si>
    <t>187-17-000040</t>
  </si>
  <si>
    <t xml:space="preserve">Construction of CC Drain at  S.M.S Layout Main Road to Gowramma Layout in  ward no 187 Puttenahalli </t>
  </si>
  <si>
    <t>C.G.CHANDRAPPA</t>
  </si>
  <si>
    <t>July</t>
  </si>
  <si>
    <t>187-17-000039</t>
  </si>
  <si>
    <t xml:space="preserve">Construction of CC Drain at 20th A Main Kapila Road in ward no 187 Puttenahalli </t>
  </si>
  <si>
    <t>C G CHANDRAPPA</t>
  </si>
  <si>
    <t xml:space="preserve"> Assistant Executive Engineer Arekere sub Division Bomanahalli Zone</t>
  </si>
  <si>
    <t>187-17-000038</t>
  </si>
  <si>
    <t xml:space="preserve">Construction of CC Drain at 18th main S.M.S Layout in ward no 187 Puttenahalli </t>
  </si>
  <si>
    <t>187-18-000063</t>
  </si>
  <si>
    <t>Providing LED Street Lights Tubular poles at Shamanna Garden associated area in ward no 187</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</si>
  <si>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</si>
  <si>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</si>
  <si>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187-18-000062</t>
  </si>
  <si>
    <t>Providing LED Street Lights Tubular poles at Puttenahalli in ward no 187</t>
  </si>
  <si>
    <t>187-18-000064</t>
  </si>
  <si>
    <t xml:space="preserve">Providing LED Street Lights in Venkateshwara Layout and Associated Layout at ward no 187 </t>
  </si>
  <si>
    <t>187-18-000065</t>
  </si>
  <si>
    <t xml:space="preserve">Providing LED Street Lights in Puttenahalli colony ward no 187 </t>
  </si>
  <si>
    <t>187-18-000066</t>
  </si>
  <si>
    <t>Providing Improvements To Streetlighting System In Ward No-187</t>
  </si>
  <si>
    <t xml:space="preserve"> M/s.Executive Engineer-01 KRIDL</t>
  </si>
  <si>
    <t>P1828</t>
  </si>
  <si>
    <t>Provision of Additional Fittings Streetlights</t>
  </si>
  <si>
    <t>September</t>
  </si>
  <si>
    <t>187-18-000021</t>
  </si>
  <si>
    <t xml:space="preserve">Providing Cement concrete Pavements at Holy Mother School road in ward no 187 Puttenahalli </t>
  </si>
  <si>
    <t>187-18-000018</t>
  </si>
  <si>
    <t>Providing RCC drains at Jagurthi Colony and Surroundings Area in ward no 187 Puttenahalli</t>
  </si>
  <si>
    <t>187-18-000017</t>
  </si>
  <si>
    <t>Providing Pothole Fillings at Puttenahalli ward no 187</t>
  </si>
  <si>
    <t>187-18-000016</t>
  </si>
  <si>
    <t>De-Silting and and repairs of drains and Culverts in ward no 187</t>
  </si>
  <si>
    <t>October</t>
  </si>
  <si>
    <t>187-17-000053</t>
  </si>
  <si>
    <t>Providing dustbin s in ward no 187 Puttenahalli</t>
  </si>
  <si>
    <t>VIJAYKUMAR Y</t>
  </si>
  <si>
    <t>P3110</t>
  </si>
  <si>
    <t>14th Finance Commission Grant Works</t>
  </si>
  <si>
    <t>187-18-000046</t>
  </si>
  <si>
    <t>PROVIDING CEMENT CONRETE PAVEMENTS AT MINI MADRAS ROAD IN WARD NO 187-PUTTENAHALLI</t>
  </si>
  <si>
    <t>vishwesh k</t>
  </si>
  <si>
    <t>P1771</t>
  </si>
  <si>
    <t>Zone Works - POW Works</t>
  </si>
  <si>
    <t>187-18-000049</t>
  </si>
  <si>
    <t>PROVIDING CEMENT CONRETE PAVEMENTS AT GOWRAMMA LAYOUT IN WARD NO 187-PUTTENAHALLI</t>
  </si>
  <si>
    <t>VISHWESH K</t>
  </si>
  <si>
    <t>187-18-000048</t>
  </si>
  <si>
    <t>PROVIDING CEMENT CONRETE PAVEMENTS AT BHORA MASQUE ROAD IN WARD NO 187-PUTTENAHALLI</t>
  </si>
  <si>
    <t>K VISHWESHA</t>
  </si>
  <si>
    <t>187-18-000051</t>
  </si>
  <si>
    <t>PROVIDING CEMENT CONRETE PAVEMENTS AT 17TH CROSS ROAD IN WARD NO 187-PUTTENAHALLI</t>
  </si>
  <si>
    <t>B CHANDRASHEKAR</t>
  </si>
  <si>
    <t>187-18-000047</t>
  </si>
  <si>
    <t>PROVIDING CEMENT CONRETE PAVEMENTS AT NATIONAL SCHOOL ROAD IN WARD NO 187-PUTTENAHALLI</t>
  </si>
  <si>
    <t>187-17-000024</t>
  </si>
  <si>
    <t>Providing and Fixing of Missing slabs at Puttenahalli in Ward No 187</t>
  </si>
  <si>
    <t>JAGADISH K</t>
  </si>
  <si>
    <t>187-17-000019</t>
  </si>
  <si>
    <t>Providing supplying of labour, tractors and JCB in ward No 187 Puttenahalli</t>
  </si>
  <si>
    <t>187-18-000019</t>
  </si>
  <si>
    <t>Improvements to roads and drains at Pavithra Paradise roads in ward no 187 Puttenahalli</t>
  </si>
  <si>
    <t>187-18-000020</t>
  </si>
  <si>
    <t xml:space="preserve">Providing Asphalting to the roads at Jagruthi Colony and Surrounding area in ward no 187 Puttenahalli </t>
  </si>
  <si>
    <t>187-18-000031</t>
  </si>
  <si>
    <t>Providing RCC drains at Sayadri layout 1st cross road in ward no 187 Puttenahalli</t>
  </si>
  <si>
    <t>D MADAIAH</t>
  </si>
  <si>
    <t>P3331</t>
  </si>
  <si>
    <t>Special Development works at Ward No.11,20,32,50,64,67,69,126,139,145,154,168,169,177,178,179,187,188,193 ( 19 wards Rs.3.00 Cr. Each)</t>
  </si>
  <si>
    <t>November</t>
  </si>
  <si>
    <t>187-18-000039</t>
  </si>
  <si>
    <t>PROVIDING POT HOLE FILLING OF CONCRETE ROADS IN WARD NO 187- PUTTENAHALLI</t>
  </si>
  <si>
    <t>Sri Srushti Infrastructure</t>
  </si>
  <si>
    <t>187-18-000040</t>
  </si>
  <si>
    <t>PROVIDING POT HOLE FILLINGS OF ASPHALTING ROADS IN WARD NO 187-PUTTENAHALLI</t>
  </si>
  <si>
    <t>December</t>
  </si>
  <si>
    <t>187-19-000007</t>
  </si>
  <si>
    <t>Providing LED Street light fitting and Control switches with allied accessories in Doresani Palya and associated area in ward no 187 Puttenahalli</t>
  </si>
  <si>
    <t>187-19-000033</t>
  </si>
  <si>
    <t>Providing borewell water pipe lines Water Supply works at ward No.187</t>
  </si>
  <si>
    <t>P1878</t>
  </si>
  <si>
    <t>18per - Works (Bhagyajyothi, Sooru / Neeru Yojane and General) (54 Lakhs / New Wards)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</si>
</sst>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tabSelected="1" workbookViewId="0">
      <selection activeCell="A2" sqref="A2:XFD44"/>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5807</v>
      </c>
      <c r="B2" s="5" t="s">
        <v>28</v>
      </c>
      <c r="C2" s="6">
        <v>43580</v>
      </c>
      <c r="D2" s="7">
        <v>187</v>
      </c>
      <c r="E2" s="8" t="s">
        <v>49</v>
      </c>
      <c r="F2" s="7" t="s">
        <v>50</v>
      </c>
      <c r="G2" s="8" t="s">
        <v>51</v>
      </c>
      <c r="H2" s="7" t="str">
        <f>"000140"</f>
        <v>000140</v>
      </c>
      <c r="I2" s="6">
        <v>42818</v>
      </c>
      <c r="J2" s="7" t="str">
        <f>"000019"</f>
        <v>000019</v>
      </c>
      <c r="K2" s="6">
        <v>42860</v>
      </c>
      <c r="L2" s="7" t="str">
        <f>"000040"</f>
        <v>000040</v>
      </c>
      <c r="M2" s="6">
        <v>42884</v>
      </c>
      <c r="N2" s="7">
        <v>17</v>
      </c>
      <c r="O2" s="7" t="str">
        <f>"000775"</f>
        <v>000775</v>
      </c>
      <c r="P2" s="6">
        <v>43578</v>
      </c>
      <c r="Q2" s="9">
        <v>22.630559999999999</v>
      </c>
      <c r="R2" s="9">
        <v>3.04379</v>
      </c>
      <c r="S2" s="9">
        <v>19.586770000000001</v>
      </c>
      <c r="T2" s="7">
        <v>28</v>
      </c>
      <c r="U2" s="6">
        <v>43580</v>
      </c>
      <c r="V2" s="7">
        <v>9999999999</v>
      </c>
      <c r="W2" s="8" t="s">
        <v>35</v>
      </c>
      <c r="X2" s="7" t="s">
        <v>42</v>
      </c>
      <c r="Y2" s="8" t="s">
        <v>43</v>
      </c>
      <c r="Z2" s="7" t="s">
        <v>46</v>
      </c>
      <c r="AA2" s="8" t="s">
        <v>47</v>
      </c>
      <c r="AB2" s="9">
        <f t="shared" ref="AB2:AB15" si="0">Q2/100</f>
        <v>0.2263056</v>
      </c>
    </row>
    <row r="3" spans="1:28" x14ac:dyDescent="0.35">
      <c r="A3" s="4">
        <v>5808</v>
      </c>
      <c r="B3" s="5" t="s">
        <v>28</v>
      </c>
      <c r="C3" s="6">
        <v>43580</v>
      </c>
      <c r="D3" s="7">
        <v>187</v>
      </c>
      <c r="E3" s="8" t="s">
        <v>49</v>
      </c>
      <c r="F3" s="7" t="s">
        <v>52</v>
      </c>
      <c r="G3" s="8" t="s">
        <v>53</v>
      </c>
      <c r="H3" s="7" t="str">
        <f>"000142"</f>
        <v>000142</v>
      </c>
      <c r="I3" s="6">
        <v>42818</v>
      </c>
      <c r="J3" s="7" t="str">
        <f>"000015"</f>
        <v>000015</v>
      </c>
      <c r="K3" s="6">
        <v>42852</v>
      </c>
      <c r="L3" s="7" t="str">
        <f>"000041"</f>
        <v>000041</v>
      </c>
      <c r="M3" s="6">
        <v>42884</v>
      </c>
      <c r="N3" s="7">
        <v>17</v>
      </c>
      <c r="O3" s="7" t="str">
        <f>"000777"</f>
        <v>000777</v>
      </c>
      <c r="P3" s="6">
        <v>43578</v>
      </c>
      <c r="Q3" s="9">
        <v>49.217480000000002</v>
      </c>
      <c r="R3" s="9">
        <v>6.5644299999999998</v>
      </c>
      <c r="S3" s="9">
        <v>42.65305</v>
      </c>
      <c r="T3" s="7">
        <v>28</v>
      </c>
      <c r="U3" s="6">
        <v>43580</v>
      </c>
      <c r="V3" s="7">
        <v>9999999999</v>
      </c>
      <c r="W3" s="8" t="s">
        <v>35</v>
      </c>
      <c r="X3" s="7" t="s">
        <v>33</v>
      </c>
      <c r="Y3" s="8" t="s">
        <v>34</v>
      </c>
      <c r="Z3" s="7" t="s">
        <v>46</v>
      </c>
      <c r="AA3" s="8" t="s">
        <v>47</v>
      </c>
      <c r="AB3" s="9">
        <f t="shared" si="0"/>
        <v>0.49217480000000002</v>
      </c>
    </row>
    <row r="4" spans="1:28" x14ac:dyDescent="0.35">
      <c r="A4" s="4">
        <v>5809</v>
      </c>
      <c r="B4" s="5" t="s">
        <v>28</v>
      </c>
      <c r="C4" s="6">
        <v>43580</v>
      </c>
      <c r="D4" s="7">
        <v>187</v>
      </c>
      <c r="E4" s="8" t="s">
        <v>49</v>
      </c>
      <c r="F4" s="7" t="s">
        <v>54</v>
      </c>
      <c r="G4" s="8" t="s">
        <v>55</v>
      </c>
      <c r="H4" s="7" t="str">
        <f>"000079"</f>
        <v>000079</v>
      </c>
      <c r="I4" s="6">
        <v>42791</v>
      </c>
      <c r="J4" s="7" t="str">
        <f>"000009"</f>
        <v>000009</v>
      </c>
      <c r="K4" s="6">
        <v>42847</v>
      </c>
      <c r="L4" s="7" t="str">
        <f>"000042"</f>
        <v>000042</v>
      </c>
      <c r="M4" s="6">
        <v>42884</v>
      </c>
      <c r="N4" s="7">
        <v>17</v>
      </c>
      <c r="O4" s="7" t="str">
        <f>"000779"</f>
        <v>000779</v>
      </c>
      <c r="P4" s="6">
        <v>43578</v>
      </c>
      <c r="Q4" s="9">
        <v>98.800299999999993</v>
      </c>
      <c r="R4" s="9">
        <v>13.41325</v>
      </c>
      <c r="S4" s="9">
        <v>85.387050000000002</v>
      </c>
      <c r="T4" s="7">
        <v>28</v>
      </c>
      <c r="U4" s="6">
        <v>43580</v>
      </c>
      <c r="V4" s="7">
        <v>9999999999</v>
      </c>
      <c r="W4" s="8" t="s">
        <v>35</v>
      </c>
      <c r="X4" s="7" t="s">
        <v>33</v>
      </c>
      <c r="Y4" s="8" t="s">
        <v>34</v>
      </c>
      <c r="Z4" s="7" t="s">
        <v>46</v>
      </c>
      <c r="AA4" s="8" t="s">
        <v>47</v>
      </c>
      <c r="AB4" s="9">
        <f t="shared" si="0"/>
        <v>0.98800299999999996</v>
      </c>
    </row>
    <row r="5" spans="1:28" x14ac:dyDescent="0.35">
      <c r="A5" s="4">
        <v>5810</v>
      </c>
      <c r="B5" s="5" t="s">
        <v>28</v>
      </c>
      <c r="C5" s="6">
        <v>43580</v>
      </c>
      <c r="D5" s="7">
        <v>187</v>
      </c>
      <c r="E5" s="8" t="s">
        <v>49</v>
      </c>
      <c r="F5" s="7" t="s">
        <v>56</v>
      </c>
      <c r="G5" s="8" t="s">
        <v>57</v>
      </c>
      <c r="H5" s="7" t="str">
        <f>"0138"</f>
        <v>0138</v>
      </c>
      <c r="I5" s="6">
        <v>1</v>
      </c>
      <c r="J5" s="7" t="str">
        <f>"000016"</f>
        <v>000016</v>
      </c>
      <c r="K5" s="6">
        <v>42852</v>
      </c>
      <c r="L5" s="7" t="str">
        <f>"000038"</f>
        <v>000038</v>
      </c>
      <c r="M5" s="6">
        <v>42884</v>
      </c>
      <c r="N5" s="7">
        <v>17</v>
      </c>
      <c r="O5" s="7" t="str">
        <f>"000787"</f>
        <v>000787</v>
      </c>
      <c r="P5" s="6">
        <v>43578</v>
      </c>
      <c r="Q5" s="9">
        <v>30.67962</v>
      </c>
      <c r="R5" s="9">
        <v>4.0947300000000002</v>
      </c>
      <c r="S5" s="9">
        <v>26.584890000000001</v>
      </c>
      <c r="T5" s="7">
        <v>28</v>
      </c>
      <c r="U5" s="6">
        <v>43580</v>
      </c>
      <c r="V5" s="7">
        <v>9999999999</v>
      </c>
      <c r="W5" s="8" t="s">
        <v>35</v>
      </c>
      <c r="X5" s="7" t="s">
        <v>42</v>
      </c>
      <c r="Y5" s="8" t="s">
        <v>43</v>
      </c>
      <c r="Z5" s="7" t="s">
        <v>46</v>
      </c>
      <c r="AA5" s="8" t="s">
        <v>47</v>
      </c>
      <c r="AB5" s="9">
        <f t="shared" si="0"/>
        <v>0.30679620000000002</v>
      </c>
    </row>
    <row r="6" spans="1:28" x14ac:dyDescent="0.35">
      <c r="A6" s="4">
        <v>5811</v>
      </c>
      <c r="B6" s="5" t="s">
        <v>28</v>
      </c>
      <c r="C6" s="6">
        <v>43582</v>
      </c>
      <c r="D6" s="7">
        <v>187</v>
      </c>
      <c r="E6" s="8" t="s">
        <v>49</v>
      </c>
      <c r="F6" s="7" t="s">
        <v>58</v>
      </c>
      <c r="G6" s="8" t="s">
        <v>59</v>
      </c>
      <c r="H6" s="7" t="str">
        <f>"000052"</f>
        <v>000052</v>
      </c>
      <c r="I6" s="6">
        <v>43154</v>
      </c>
      <c r="J6" s="7" t="str">
        <f>"000069"</f>
        <v>000069</v>
      </c>
      <c r="K6" s="6">
        <v>43154</v>
      </c>
      <c r="L6" s="7" t="str">
        <f>"000066"</f>
        <v>000066</v>
      </c>
      <c r="M6" s="6">
        <v>43154</v>
      </c>
      <c r="N6" s="7">
        <v>18</v>
      </c>
      <c r="O6" s="7" t="str">
        <f>"001047"</f>
        <v>001047</v>
      </c>
      <c r="P6" s="6">
        <v>43580</v>
      </c>
      <c r="Q6" s="9">
        <v>49.593429999999998</v>
      </c>
      <c r="R6" s="9">
        <v>6.3975600000000004</v>
      </c>
      <c r="S6" s="9">
        <v>43.195869999999999</v>
      </c>
      <c r="T6" s="7">
        <v>31</v>
      </c>
      <c r="U6" s="6">
        <v>43582</v>
      </c>
      <c r="V6" s="7">
        <v>9632977771</v>
      </c>
      <c r="W6" s="8" t="s">
        <v>48</v>
      </c>
      <c r="X6" s="7" t="s">
        <v>38</v>
      </c>
      <c r="Y6" s="8" t="s">
        <v>39</v>
      </c>
      <c r="Z6" s="7" t="s">
        <v>44</v>
      </c>
      <c r="AA6" s="8" t="s">
        <v>45</v>
      </c>
      <c r="AB6" s="9">
        <f t="shared" si="0"/>
        <v>0.49593429999999999</v>
      </c>
    </row>
    <row r="7" spans="1:28" x14ac:dyDescent="0.35">
      <c r="A7" s="4">
        <v>5812</v>
      </c>
      <c r="B7" s="5" t="s">
        <v>28</v>
      </c>
      <c r="C7" s="6">
        <v>43582</v>
      </c>
      <c r="D7" s="7">
        <v>187</v>
      </c>
      <c r="E7" s="8" t="s">
        <v>49</v>
      </c>
      <c r="F7" s="7" t="s">
        <v>60</v>
      </c>
      <c r="G7" s="8" t="s">
        <v>61</v>
      </c>
      <c r="H7" s="7" t="str">
        <f>"000048"</f>
        <v>000048</v>
      </c>
      <c r="I7" s="6">
        <v>43146</v>
      </c>
      <c r="J7" s="7" t="str">
        <f>"000061"</f>
        <v>000061</v>
      </c>
      <c r="K7" s="6">
        <v>43145</v>
      </c>
      <c r="L7" s="7" t="str">
        <f>"000067"</f>
        <v>000067</v>
      </c>
      <c r="M7" s="6">
        <v>43154</v>
      </c>
      <c r="N7" s="7">
        <v>18</v>
      </c>
      <c r="O7" s="7" t="str">
        <f>"001048"</f>
        <v>001048</v>
      </c>
      <c r="P7" s="6">
        <v>43580</v>
      </c>
      <c r="Q7" s="9">
        <v>49.593429999999998</v>
      </c>
      <c r="R7" s="9">
        <v>6.3975600000000004</v>
      </c>
      <c r="S7" s="9">
        <v>43.195869999999999</v>
      </c>
      <c r="T7" s="7">
        <v>31</v>
      </c>
      <c r="U7" s="6">
        <v>43582</v>
      </c>
      <c r="V7" s="7">
        <v>9632977771</v>
      </c>
      <c r="W7" s="8" t="s">
        <v>48</v>
      </c>
      <c r="X7" s="7" t="s">
        <v>38</v>
      </c>
      <c r="Y7" s="8" t="s">
        <v>39</v>
      </c>
      <c r="Z7" s="7" t="s">
        <v>44</v>
      </c>
      <c r="AA7" s="8" t="s">
        <v>45</v>
      </c>
      <c r="AB7" s="9">
        <f t="shared" si="0"/>
        <v>0.49593429999999999</v>
      </c>
    </row>
    <row r="8" spans="1:28" x14ac:dyDescent="0.35">
      <c r="A8" s="4">
        <v>5813</v>
      </c>
      <c r="B8" s="5" t="s">
        <v>28</v>
      </c>
      <c r="C8" s="6">
        <v>43582</v>
      </c>
      <c r="D8" s="7">
        <v>187</v>
      </c>
      <c r="E8" s="8" t="s">
        <v>49</v>
      </c>
      <c r="F8" s="7" t="s">
        <v>62</v>
      </c>
      <c r="G8" s="8" t="s">
        <v>63</v>
      </c>
      <c r="H8" s="7" t="str">
        <f>"000053"</f>
        <v>000053</v>
      </c>
      <c r="I8" s="6">
        <v>43154</v>
      </c>
      <c r="J8" s="7" t="str">
        <f>"000070"</f>
        <v>000070</v>
      </c>
      <c r="K8" s="6">
        <v>43154</v>
      </c>
      <c r="L8" s="7" t="str">
        <f>"000068"</f>
        <v>000068</v>
      </c>
      <c r="M8" s="6">
        <v>43154</v>
      </c>
      <c r="N8" s="7">
        <v>18</v>
      </c>
      <c r="O8" s="7" t="str">
        <f>"001049"</f>
        <v>001049</v>
      </c>
      <c r="P8" s="6">
        <v>43580</v>
      </c>
      <c r="Q8" s="9">
        <v>49.593429999999998</v>
      </c>
      <c r="R8" s="9">
        <v>6.3975600000000004</v>
      </c>
      <c r="S8" s="9">
        <v>43.195869999999999</v>
      </c>
      <c r="T8" s="7">
        <v>31</v>
      </c>
      <c r="U8" s="6">
        <v>43582</v>
      </c>
      <c r="V8" s="7">
        <v>9632977771</v>
      </c>
      <c r="W8" s="8" t="s">
        <v>48</v>
      </c>
      <c r="X8" s="7" t="s">
        <v>38</v>
      </c>
      <c r="Y8" s="8" t="s">
        <v>39</v>
      </c>
      <c r="Z8" s="7" t="s">
        <v>44</v>
      </c>
      <c r="AA8" s="8" t="s">
        <v>45</v>
      </c>
      <c r="AB8" s="9">
        <f t="shared" si="0"/>
        <v>0.49593429999999999</v>
      </c>
    </row>
    <row r="9" spans="1:28" x14ac:dyDescent="0.35">
      <c r="A9" s="4">
        <v>5814</v>
      </c>
      <c r="B9" s="5" t="s">
        <v>28</v>
      </c>
      <c r="C9" s="6">
        <v>43582</v>
      </c>
      <c r="D9" s="7">
        <v>187</v>
      </c>
      <c r="E9" s="8" t="s">
        <v>49</v>
      </c>
      <c r="F9" s="7" t="s">
        <v>64</v>
      </c>
      <c r="G9" s="8" t="s">
        <v>65</v>
      </c>
      <c r="H9" s="7" t="str">
        <f>"000054"</f>
        <v>000054</v>
      </c>
      <c r="I9" s="6">
        <v>43154</v>
      </c>
      <c r="J9" s="7" t="str">
        <f>"000071"</f>
        <v>000071</v>
      </c>
      <c r="K9" s="6">
        <v>43154</v>
      </c>
      <c r="L9" s="7" t="str">
        <f>"000069"</f>
        <v>000069</v>
      </c>
      <c r="M9" s="6">
        <v>43154</v>
      </c>
      <c r="N9" s="7">
        <v>18</v>
      </c>
      <c r="O9" s="7" t="str">
        <f>"001050"</f>
        <v>001050</v>
      </c>
      <c r="P9" s="6">
        <v>43580</v>
      </c>
      <c r="Q9" s="9">
        <v>49.593429999999998</v>
      </c>
      <c r="R9" s="9">
        <v>6.3975600000000004</v>
      </c>
      <c r="S9" s="9">
        <v>43.195869999999999</v>
      </c>
      <c r="T9" s="7">
        <v>31</v>
      </c>
      <c r="U9" s="6">
        <v>43582</v>
      </c>
      <c r="V9" s="7">
        <v>9632977771</v>
      </c>
      <c r="W9" s="8" t="s">
        <v>48</v>
      </c>
      <c r="X9" s="7" t="s">
        <v>38</v>
      </c>
      <c r="Y9" s="8" t="s">
        <v>39</v>
      </c>
      <c r="Z9" s="7" t="s">
        <v>44</v>
      </c>
      <c r="AA9" s="8" t="s">
        <v>45</v>
      </c>
      <c r="AB9" s="9">
        <f t="shared" si="0"/>
        <v>0.49593429999999999</v>
      </c>
    </row>
    <row r="10" spans="1:28" x14ac:dyDescent="0.35">
      <c r="A10" s="4">
        <v>5815</v>
      </c>
      <c r="B10" s="5" t="s">
        <v>28</v>
      </c>
      <c r="C10" s="6">
        <v>43582</v>
      </c>
      <c r="D10" s="7">
        <v>187</v>
      </c>
      <c r="E10" s="8" t="s">
        <v>49</v>
      </c>
      <c r="F10" s="7" t="s">
        <v>66</v>
      </c>
      <c r="G10" s="8" t="s">
        <v>67</v>
      </c>
      <c r="H10" s="7" t="str">
        <f>"000015"</f>
        <v>000015</v>
      </c>
      <c r="I10" s="6">
        <v>43147</v>
      </c>
      <c r="J10" s="7" t="str">
        <f>"000065"</f>
        <v>000065</v>
      </c>
      <c r="K10" s="6">
        <v>43148</v>
      </c>
      <c r="L10" s="7" t="str">
        <f>"000077"</f>
        <v>000077</v>
      </c>
      <c r="M10" s="6">
        <v>43155</v>
      </c>
      <c r="N10" s="7">
        <v>17</v>
      </c>
      <c r="O10" s="7" t="str">
        <f>"001067"</f>
        <v>001067</v>
      </c>
      <c r="P10" s="6">
        <v>43581</v>
      </c>
      <c r="Q10" s="9">
        <v>24.753530000000001</v>
      </c>
      <c r="R10" s="9">
        <v>3.7548499999999998</v>
      </c>
      <c r="S10" s="9">
        <v>20.99868</v>
      </c>
      <c r="T10" s="7">
        <v>31</v>
      </c>
      <c r="U10" s="6">
        <v>43582</v>
      </c>
      <c r="V10" s="7">
        <v>9480683443</v>
      </c>
      <c r="W10" s="8" t="s">
        <v>68</v>
      </c>
      <c r="X10" s="7" t="s">
        <v>33</v>
      </c>
      <c r="Y10" s="8" t="s">
        <v>34</v>
      </c>
      <c r="Z10" s="7" t="s">
        <v>44</v>
      </c>
      <c r="AA10" s="8" t="s">
        <v>45</v>
      </c>
      <c r="AB10" s="9">
        <f t="shared" si="0"/>
        <v>0.24753530000000001</v>
      </c>
    </row>
    <row r="11" spans="1:28" x14ac:dyDescent="0.35">
      <c r="A11" s="4">
        <v>5816</v>
      </c>
      <c r="B11" s="5" t="s">
        <v>28</v>
      </c>
      <c r="C11" s="6">
        <v>43582</v>
      </c>
      <c r="D11" s="7">
        <v>187</v>
      </c>
      <c r="E11" s="8" t="s">
        <v>49</v>
      </c>
      <c r="F11" s="7" t="s">
        <v>69</v>
      </c>
      <c r="G11" s="8" t="s">
        <v>70</v>
      </c>
      <c r="H11" s="7" t="str">
        <f>"000049"</f>
        <v>000049</v>
      </c>
      <c r="I11" s="6">
        <v>43146</v>
      </c>
      <c r="J11" s="7" t="str">
        <f>"000066"</f>
        <v>000066</v>
      </c>
      <c r="K11" s="6">
        <v>43148</v>
      </c>
      <c r="L11" s="7" t="str">
        <f>"000078"</f>
        <v>000078</v>
      </c>
      <c r="M11" s="6">
        <v>43155</v>
      </c>
      <c r="N11" s="7">
        <v>17</v>
      </c>
      <c r="O11" s="7" t="str">
        <f>"001068"</f>
        <v>001068</v>
      </c>
      <c r="P11" s="6">
        <v>43581</v>
      </c>
      <c r="Q11" s="9">
        <v>24.77495</v>
      </c>
      <c r="R11" s="9">
        <v>3.7580499999999999</v>
      </c>
      <c r="S11" s="9">
        <v>21.0169</v>
      </c>
      <c r="T11" s="7">
        <v>31</v>
      </c>
      <c r="U11" s="6">
        <v>43582</v>
      </c>
      <c r="V11" s="7">
        <v>9845007432</v>
      </c>
      <c r="W11" s="8" t="s">
        <v>48</v>
      </c>
      <c r="X11" s="7" t="s">
        <v>33</v>
      </c>
      <c r="Y11" s="8" t="s">
        <v>34</v>
      </c>
      <c r="Z11" s="7" t="s">
        <v>44</v>
      </c>
      <c r="AA11" s="8" t="s">
        <v>45</v>
      </c>
      <c r="AB11" s="9">
        <f t="shared" si="0"/>
        <v>0.24774950000000001</v>
      </c>
    </row>
    <row r="12" spans="1:28" x14ac:dyDescent="0.35">
      <c r="A12" s="4">
        <v>5817</v>
      </c>
      <c r="B12" s="5" t="s">
        <v>30</v>
      </c>
      <c r="C12" s="6">
        <v>43591</v>
      </c>
      <c r="D12" s="7">
        <v>187</v>
      </c>
      <c r="E12" s="8" t="s">
        <v>49</v>
      </c>
      <c r="F12" s="7" t="s">
        <v>71</v>
      </c>
      <c r="G12" s="8" t="s">
        <v>72</v>
      </c>
      <c r="H12" s="7" t="str">
        <f>"000139"</f>
        <v>000139</v>
      </c>
      <c r="I12" s="6">
        <v>42818</v>
      </c>
      <c r="J12" s="7" t="str">
        <f>"000021"</f>
        <v>000021</v>
      </c>
      <c r="K12" s="6">
        <v>42860</v>
      </c>
      <c r="L12" s="7" t="str">
        <f>"000039"</f>
        <v>000039</v>
      </c>
      <c r="M12" s="6">
        <v>42884</v>
      </c>
      <c r="N12" s="7">
        <v>17</v>
      </c>
      <c r="O12" s="7" t="str">
        <f>"001184"</f>
        <v>001184</v>
      </c>
      <c r="P12" s="6">
        <v>43582</v>
      </c>
      <c r="Q12" s="9">
        <v>22.524760000000001</v>
      </c>
      <c r="R12" s="9">
        <v>3.0063</v>
      </c>
      <c r="S12" s="9">
        <v>19.518460000000001</v>
      </c>
      <c r="T12" s="7">
        <v>37</v>
      </c>
      <c r="U12" s="6">
        <v>43591</v>
      </c>
      <c r="V12" s="7">
        <v>9999999999</v>
      </c>
      <c r="W12" s="8" t="s">
        <v>35</v>
      </c>
      <c r="X12" s="7" t="s">
        <v>42</v>
      </c>
      <c r="Y12" s="8" t="s">
        <v>43</v>
      </c>
      <c r="Z12" s="7" t="s">
        <v>46</v>
      </c>
      <c r="AA12" s="8" t="s">
        <v>47</v>
      </c>
      <c r="AB12" s="9">
        <f t="shared" si="0"/>
        <v>0.22524759999999999</v>
      </c>
    </row>
    <row r="13" spans="1:28" x14ac:dyDescent="0.35">
      <c r="A13" s="4">
        <v>5818</v>
      </c>
      <c r="B13" s="5" t="s">
        <v>30</v>
      </c>
      <c r="C13" s="6">
        <v>43591</v>
      </c>
      <c r="D13" s="7">
        <v>187</v>
      </c>
      <c r="E13" s="8" t="s">
        <v>49</v>
      </c>
      <c r="F13" s="7" t="s">
        <v>73</v>
      </c>
      <c r="G13" s="8" t="s">
        <v>74</v>
      </c>
      <c r="H13" s="7" t="str">
        <f>"000141"</f>
        <v>000141</v>
      </c>
      <c r="I13" s="6">
        <v>42818</v>
      </c>
      <c r="J13" s="7" t="str">
        <f>"000020"</f>
        <v>000020</v>
      </c>
      <c r="K13" s="6">
        <v>42860</v>
      </c>
      <c r="L13" s="7" t="str">
        <f>"000037"</f>
        <v>000037</v>
      </c>
      <c r="M13" s="6">
        <v>42884</v>
      </c>
      <c r="N13" s="7">
        <v>17</v>
      </c>
      <c r="O13" s="7" t="str">
        <f>"001263"</f>
        <v>001263</v>
      </c>
      <c r="P13" s="6">
        <v>43587</v>
      </c>
      <c r="Q13" s="9">
        <v>22.777830000000002</v>
      </c>
      <c r="R13" s="9">
        <v>3.0400900000000002</v>
      </c>
      <c r="S13" s="9">
        <v>19.737739999999999</v>
      </c>
      <c r="T13" s="7">
        <v>37</v>
      </c>
      <c r="U13" s="6">
        <v>43591</v>
      </c>
      <c r="V13" s="7">
        <v>9999999999</v>
      </c>
      <c r="W13" s="8" t="s">
        <v>35</v>
      </c>
      <c r="X13" s="7" t="s">
        <v>42</v>
      </c>
      <c r="Y13" s="8" t="s">
        <v>43</v>
      </c>
      <c r="Z13" s="7" t="s">
        <v>46</v>
      </c>
      <c r="AA13" s="8" t="s">
        <v>47</v>
      </c>
      <c r="AB13" s="9">
        <f t="shared" si="0"/>
        <v>0.22777830000000002</v>
      </c>
    </row>
    <row r="14" spans="1:28" x14ac:dyDescent="0.35">
      <c r="A14" s="4">
        <v>5819</v>
      </c>
      <c r="B14" s="5" t="s">
        <v>30</v>
      </c>
      <c r="C14" s="6">
        <v>43614</v>
      </c>
      <c r="D14" s="7">
        <v>187</v>
      </c>
      <c r="E14" s="8" t="s">
        <v>49</v>
      </c>
      <c r="F14" s="7" t="s">
        <v>75</v>
      </c>
      <c r="G14" s="8" t="s">
        <v>76</v>
      </c>
      <c r="H14" s="7" t="str">
        <f>"000154"</f>
        <v>000154</v>
      </c>
      <c r="I14" s="6">
        <v>43166</v>
      </c>
      <c r="J14" s="7" t="str">
        <f>"000027"</f>
        <v>000027</v>
      </c>
      <c r="K14" s="6">
        <v>43220</v>
      </c>
      <c r="L14" s="7" t="str">
        <f>"000037"</f>
        <v>000037</v>
      </c>
      <c r="M14" s="6">
        <v>43220</v>
      </c>
      <c r="N14" s="7">
        <v>18</v>
      </c>
      <c r="O14" s="7" t="str">
        <f>"002094"</f>
        <v>002094</v>
      </c>
      <c r="P14" s="6">
        <v>43612</v>
      </c>
      <c r="Q14" s="9">
        <v>24.66649</v>
      </c>
      <c r="R14" s="9">
        <v>1.76271</v>
      </c>
      <c r="S14" s="9">
        <v>22.903780000000001</v>
      </c>
      <c r="T14" s="7">
        <v>64</v>
      </c>
      <c r="U14" s="6">
        <v>43614</v>
      </c>
      <c r="V14" s="7">
        <v>9999999999</v>
      </c>
      <c r="W14" s="8" t="s">
        <v>77</v>
      </c>
      <c r="X14" s="7" t="s">
        <v>36</v>
      </c>
      <c r="Y14" s="8" t="s">
        <v>37</v>
      </c>
      <c r="Z14" s="7" t="s">
        <v>46</v>
      </c>
      <c r="AA14" s="8" t="s">
        <v>47</v>
      </c>
      <c r="AB14" s="9">
        <f t="shared" si="0"/>
        <v>0.24666489999999999</v>
      </c>
    </row>
    <row r="15" spans="1:28" x14ac:dyDescent="0.35">
      <c r="A15" s="4">
        <v>5820</v>
      </c>
      <c r="B15" s="5" t="s">
        <v>30</v>
      </c>
      <c r="C15" s="6">
        <v>43614</v>
      </c>
      <c r="D15" s="7">
        <v>187</v>
      </c>
      <c r="E15" s="8" t="s">
        <v>49</v>
      </c>
      <c r="F15" s="7" t="s">
        <v>78</v>
      </c>
      <c r="G15" s="8" t="s">
        <v>79</v>
      </c>
      <c r="H15" s="7" t="str">
        <f>"000141"</f>
        <v>000141</v>
      </c>
      <c r="I15" s="6">
        <v>43166</v>
      </c>
      <c r="J15" s="7" t="str">
        <f>"000026"</f>
        <v>000026</v>
      </c>
      <c r="K15" s="6">
        <v>43220</v>
      </c>
      <c r="L15" s="7" t="str">
        <f>"000038"</f>
        <v>000038</v>
      </c>
      <c r="M15" s="6">
        <v>43220</v>
      </c>
      <c r="N15" s="7">
        <v>18</v>
      </c>
      <c r="O15" s="7" t="str">
        <f>"002095"</f>
        <v>002095</v>
      </c>
      <c r="P15" s="6">
        <v>43612</v>
      </c>
      <c r="Q15" s="9">
        <v>4.8627099999999999</v>
      </c>
      <c r="R15" s="9">
        <v>0.35869000000000001</v>
      </c>
      <c r="S15" s="9">
        <v>4.5040199999999997</v>
      </c>
      <c r="T15" s="7">
        <v>64</v>
      </c>
      <c r="U15" s="6">
        <v>43614</v>
      </c>
      <c r="V15" s="7">
        <v>9999999999</v>
      </c>
      <c r="W15" s="8" t="s">
        <v>80</v>
      </c>
      <c r="X15" s="7" t="s">
        <v>36</v>
      </c>
      <c r="Y15" s="8" t="s">
        <v>37</v>
      </c>
      <c r="Z15" s="7" t="s">
        <v>46</v>
      </c>
      <c r="AA15" s="8" t="s">
        <v>47</v>
      </c>
      <c r="AB15" s="9">
        <f t="shared" si="0"/>
        <v>4.8627099999999999E-2</v>
      </c>
    </row>
    <row r="16" spans="1:28" x14ac:dyDescent="0.35">
      <c r="A16" s="4">
        <v>5821</v>
      </c>
      <c r="B16" s="5" t="s">
        <v>29</v>
      </c>
      <c r="C16" s="6">
        <v>43628</v>
      </c>
      <c r="D16" s="7">
        <v>187</v>
      </c>
      <c r="E16" s="8" t="s">
        <v>49</v>
      </c>
      <c r="F16" s="7" t="s">
        <v>81</v>
      </c>
      <c r="G16" s="8" t="s">
        <v>82</v>
      </c>
      <c r="H16" s="7" t="str">
        <f>"000001"</f>
        <v>000001</v>
      </c>
      <c r="I16" s="6">
        <v>43052</v>
      </c>
      <c r="J16" s="7" t="str">
        <f>"000001"</f>
        <v>000001</v>
      </c>
      <c r="K16" s="6">
        <v>43052</v>
      </c>
      <c r="L16" s="7" t="str">
        <f>"000045"</f>
        <v>000045</v>
      </c>
      <c r="M16" s="6">
        <v>43052</v>
      </c>
      <c r="N16" s="7">
        <v>15</v>
      </c>
      <c r="O16" s="7" t="str">
        <f>"002588"</f>
        <v>002588</v>
      </c>
      <c r="P16" s="6">
        <v>43627</v>
      </c>
      <c r="Q16" s="9">
        <v>28.9</v>
      </c>
      <c r="R16" s="9">
        <v>2.2490000000000001</v>
      </c>
      <c r="S16" s="9">
        <v>26.651</v>
      </c>
      <c r="T16" s="7">
        <v>76</v>
      </c>
      <c r="U16" s="6">
        <v>43628</v>
      </c>
      <c r="V16" s="7">
        <v>9742767709</v>
      </c>
      <c r="W16" s="8" t="s">
        <v>83</v>
      </c>
      <c r="X16" s="7" t="s">
        <v>84</v>
      </c>
      <c r="Y16" s="8" t="s">
        <v>85</v>
      </c>
      <c r="Z16" s="7" t="s">
        <v>40</v>
      </c>
      <c r="AA16" s="8" t="s">
        <v>41</v>
      </c>
      <c r="AB16" s="9">
        <v>0.28899999999999998</v>
      </c>
    </row>
    <row r="17" spans="1:28" x14ac:dyDescent="0.35">
      <c r="A17" s="4">
        <v>5822</v>
      </c>
      <c r="B17" s="5" t="s">
        <v>29</v>
      </c>
      <c r="C17" s="6">
        <v>43637</v>
      </c>
      <c r="D17" s="7">
        <v>187</v>
      </c>
      <c r="E17" s="8" t="s">
        <v>49</v>
      </c>
      <c r="F17" s="7" t="s">
        <v>86</v>
      </c>
      <c r="G17" s="8" t="s">
        <v>87</v>
      </c>
      <c r="H17" s="7" t="str">
        <f>"000074"</f>
        <v>000074</v>
      </c>
      <c r="I17" s="6">
        <v>43124</v>
      </c>
      <c r="J17" s="7" t="str">
        <f>"000109"</f>
        <v>000109</v>
      </c>
      <c r="K17" s="6">
        <v>43469</v>
      </c>
      <c r="L17" s="7" t="str">
        <f>"000207"</f>
        <v>000207</v>
      </c>
      <c r="M17" s="6">
        <v>43490</v>
      </c>
      <c r="N17" s="7">
        <v>17</v>
      </c>
      <c r="O17" s="7" t="str">
        <f>"002889"</f>
        <v>002889</v>
      </c>
      <c r="P17" s="6">
        <v>43637</v>
      </c>
      <c r="Q17" s="9">
        <v>23.184940000000001</v>
      </c>
      <c r="R17" s="9">
        <v>2.4065500000000002</v>
      </c>
      <c r="S17" s="9">
        <v>20.778390000000002</v>
      </c>
      <c r="T17" s="7">
        <v>91</v>
      </c>
      <c r="U17" s="6">
        <v>43637</v>
      </c>
      <c r="V17" s="7">
        <v>9999999999</v>
      </c>
      <c r="W17" s="8" t="s">
        <v>88</v>
      </c>
      <c r="X17" s="7" t="s">
        <v>31</v>
      </c>
      <c r="Y17" s="8" t="s">
        <v>32</v>
      </c>
      <c r="Z17" s="7" t="s">
        <v>46</v>
      </c>
      <c r="AA17" s="8" t="s">
        <v>47</v>
      </c>
      <c r="AB17" s="9">
        <v>0.23184940000000001</v>
      </c>
    </row>
    <row r="18" spans="1:28" x14ac:dyDescent="0.35">
      <c r="A18" s="4">
        <v>5823</v>
      </c>
      <c r="B18" s="5" t="s">
        <v>29</v>
      </c>
      <c r="C18" s="6">
        <v>43637</v>
      </c>
      <c r="D18" s="7">
        <v>187</v>
      </c>
      <c r="E18" s="8" t="s">
        <v>49</v>
      </c>
      <c r="F18" s="7" t="s">
        <v>89</v>
      </c>
      <c r="G18" s="8" t="s">
        <v>90</v>
      </c>
      <c r="H18" s="7" t="str">
        <f>"000075"</f>
        <v>000075</v>
      </c>
      <c r="I18" s="6">
        <v>43124</v>
      </c>
      <c r="J18" s="7" t="str">
        <f>"000110"</f>
        <v>000110</v>
      </c>
      <c r="K18" s="6">
        <v>43469</v>
      </c>
      <c r="L18" s="7" t="str">
        <f>"000210"</f>
        <v>000210</v>
      </c>
      <c r="M18" s="6">
        <v>43490</v>
      </c>
      <c r="N18" s="7">
        <v>17</v>
      </c>
      <c r="O18" s="7" t="str">
        <f>"002890"</f>
        <v>002890</v>
      </c>
      <c r="P18" s="6">
        <v>43637</v>
      </c>
      <c r="Q18" s="9">
        <v>15.539249999999999</v>
      </c>
      <c r="R18" s="9">
        <v>1.6129599999999999</v>
      </c>
      <c r="S18" s="9">
        <v>13.92629</v>
      </c>
      <c r="T18" s="7">
        <v>91</v>
      </c>
      <c r="U18" s="6">
        <v>43637</v>
      </c>
      <c r="V18" s="7">
        <v>9999999999</v>
      </c>
      <c r="W18" s="8" t="s">
        <v>91</v>
      </c>
      <c r="X18" s="7" t="s">
        <v>31</v>
      </c>
      <c r="Y18" s="8" t="s">
        <v>32</v>
      </c>
      <c r="Z18" s="7" t="s">
        <v>46</v>
      </c>
      <c r="AA18" s="8" t="s">
        <v>47</v>
      </c>
      <c r="AB18" s="9">
        <v>0.15539249999999999</v>
      </c>
    </row>
    <row r="19" spans="1:28" x14ac:dyDescent="0.35">
      <c r="A19" s="4">
        <v>5824</v>
      </c>
      <c r="B19" s="5" t="s">
        <v>92</v>
      </c>
      <c r="C19" s="6">
        <v>43650</v>
      </c>
      <c r="D19" s="7">
        <v>187</v>
      </c>
      <c r="E19" s="8" t="s">
        <v>49</v>
      </c>
      <c r="F19" s="7" t="s">
        <v>93</v>
      </c>
      <c r="G19" s="10" t="s">
        <v>94</v>
      </c>
      <c r="H19" s="7" t="str">
        <f>"000119"</f>
        <v>000119</v>
      </c>
      <c r="I19" s="6">
        <v>43129</v>
      </c>
      <c r="J19" s="7" t="str">
        <f>"000111"</f>
        <v>000111</v>
      </c>
      <c r="K19" s="6">
        <v>43469</v>
      </c>
      <c r="L19" s="7" t="str">
        <f>"000209"</f>
        <v>000209</v>
      </c>
      <c r="M19" s="6">
        <v>43490</v>
      </c>
      <c r="N19" s="7">
        <v>17</v>
      </c>
      <c r="O19" s="7" t="str">
        <f>"003277"</f>
        <v>003277</v>
      </c>
      <c r="P19" s="6">
        <v>43648</v>
      </c>
      <c r="Q19" s="11">
        <v>21.972380000000001</v>
      </c>
      <c r="R19" s="11">
        <v>2.2806999999999999</v>
      </c>
      <c r="S19" s="11">
        <v>19.691680000000002</v>
      </c>
      <c r="T19" s="7">
        <v>105</v>
      </c>
      <c r="U19" s="6">
        <v>43650</v>
      </c>
      <c r="V19" s="7">
        <v>9986072837</v>
      </c>
      <c r="W19" s="10" t="s">
        <v>95</v>
      </c>
      <c r="X19" s="7" t="s">
        <v>31</v>
      </c>
      <c r="Y19" s="10" t="s">
        <v>32</v>
      </c>
      <c r="Z19" s="7" t="s">
        <v>46</v>
      </c>
      <c r="AA19" s="10" t="s">
        <v>96</v>
      </c>
      <c r="AB19" s="11">
        <f t="shared" ref="AB19:AB29" si="1">Q19/100</f>
        <v>0.21972380000000002</v>
      </c>
    </row>
    <row r="20" spans="1:28" x14ac:dyDescent="0.35">
      <c r="A20" s="4">
        <v>5825</v>
      </c>
      <c r="B20" s="5" t="s">
        <v>92</v>
      </c>
      <c r="C20" s="6">
        <v>43650</v>
      </c>
      <c r="D20" s="7">
        <v>187</v>
      </c>
      <c r="E20" s="8" t="s">
        <v>49</v>
      </c>
      <c r="F20" s="7" t="s">
        <v>97</v>
      </c>
      <c r="G20" s="10" t="s">
        <v>98</v>
      </c>
      <c r="H20" s="7" t="str">
        <f>"000086"</f>
        <v>000086</v>
      </c>
      <c r="I20" s="6">
        <v>43127</v>
      </c>
      <c r="J20" s="7" t="str">
        <f>"000108"</f>
        <v>000108</v>
      </c>
      <c r="K20" s="6">
        <v>43469</v>
      </c>
      <c r="L20" s="7" t="str">
        <f>"000208"</f>
        <v>000208</v>
      </c>
      <c r="M20" s="6">
        <v>43490</v>
      </c>
      <c r="N20" s="7">
        <v>17</v>
      </c>
      <c r="O20" s="7" t="str">
        <f>"003278"</f>
        <v>003278</v>
      </c>
      <c r="P20" s="6">
        <v>43648</v>
      </c>
      <c r="Q20" s="11">
        <v>21.950189999999999</v>
      </c>
      <c r="R20" s="11">
        <v>2.2784</v>
      </c>
      <c r="S20" s="11">
        <v>19.671790000000001</v>
      </c>
      <c r="T20" s="7">
        <v>105</v>
      </c>
      <c r="U20" s="6">
        <v>43650</v>
      </c>
      <c r="V20" s="7">
        <v>9986072837</v>
      </c>
      <c r="W20" s="10" t="s">
        <v>95</v>
      </c>
      <c r="X20" s="7" t="s">
        <v>31</v>
      </c>
      <c r="Y20" s="10" t="s">
        <v>32</v>
      </c>
      <c r="Z20" s="7" t="s">
        <v>46</v>
      </c>
      <c r="AA20" s="10" t="s">
        <v>96</v>
      </c>
      <c r="AB20" s="11">
        <f t="shared" si="1"/>
        <v>0.2195019</v>
      </c>
    </row>
    <row r="21" spans="1:28" x14ac:dyDescent="0.35">
      <c r="A21" s="4">
        <v>5826</v>
      </c>
      <c r="B21" s="5" t="s">
        <v>92</v>
      </c>
      <c r="C21" s="6">
        <v>43665</v>
      </c>
      <c r="D21" s="7">
        <v>187</v>
      </c>
      <c r="E21" s="8" t="s">
        <v>49</v>
      </c>
      <c r="F21" s="7" t="s">
        <v>99</v>
      </c>
      <c r="G21" s="10" t="s">
        <v>100</v>
      </c>
      <c r="H21" s="7" t="str">
        <f>"000057"</f>
        <v>000057</v>
      </c>
      <c r="I21" s="6">
        <v>43209</v>
      </c>
      <c r="J21" s="7" t="str">
        <f>"000087"</f>
        <v>000087</v>
      </c>
      <c r="K21" s="6">
        <v>43190</v>
      </c>
      <c r="L21" s="7" t="str">
        <f>"000089"</f>
        <v>000089</v>
      </c>
      <c r="M21" s="6">
        <v>43190</v>
      </c>
      <c r="N21" s="7">
        <v>18</v>
      </c>
      <c r="O21" s="7" t="str">
        <f>"003822"</f>
        <v>003822</v>
      </c>
      <c r="P21" s="6">
        <v>43665</v>
      </c>
      <c r="Q21" s="11">
        <v>49.676519999999996</v>
      </c>
      <c r="R21" s="11">
        <v>6.4085000000000001</v>
      </c>
      <c r="S21" s="11">
        <v>43.26802</v>
      </c>
      <c r="T21" s="7">
        <v>118</v>
      </c>
      <c r="U21" s="6">
        <v>43665</v>
      </c>
      <c r="V21" s="7">
        <v>9480683443</v>
      </c>
      <c r="W21" s="10" t="s">
        <v>68</v>
      </c>
      <c r="X21" s="7" t="s">
        <v>101</v>
      </c>
      <c r="Y21" s="10" t="s">
        <v>102</v>
      </c>
      <c r="Z21" s="7" t="s">
        <v>44</v>
      </c>
      <c r="AA21" s="10" t="s">
        <v>45</v>
      </c>
      <c r="AB21" s="11">
        <f t="shared" si="1"/>
        <v>0.49676519999999996</v>
      </c>
    </row>
    <row r="22" spans="1:28" x14ac:dyDescent="0.35">
      <c r="A22" s="4">
        <v>5827</v>
      </c>
      <c r="B22" s="5" t="s">
        <v>92</v>
      </c>
      <c r="C22" s="6">
        <v>43665</v>
      </c>
      <c r="D22" s="7">
        <v>187</v>
      </c>
      <c r="E22" s="8" t="s">
        <v>49</v>
      </c>
      <c r="F22" s="7" t="s">
        <v>103</v>
      </c>
      <c r="G22" s="10" t="s">
        <v>104</v>
      </c>
      <c r="H22" s="7" t="str">
        <f>"000056"</f>
        <v>000056</v>
      </c>
      <c r="I22" s="6">
        <v>43209</v>
      </c>
      <c r="J22" s="7" t="str">
        <f>"000086"</f>
        <v>000086</v>
      </c>
      <c r="K22" s="6">
        <v>43190</v>
      </c>
      <c r="L22" s="7" t="str">
        <f>"000090"</f>
        <v>000090</v>
      </c>
      <c r="M22" s="6">
        <v>43190</v>
      </c>
      <c r="N22" s="7">
        <v>18</v>
      </c>
      <c r="O22" s="7" t="str">
        <f>"003823"</f>
        <v>003823</v>
      </c>
      <c r="P22" s="6">
        <v>43665</v>
      </c>
      <c r="Q22" s="11">
        <v>49.678069999999998</v>
      </c>
      <c r="R22" s="11">
        <v>6.4085999999999999</v>
      </c>
      <c r="S22" s="11">
        <v>43.269469999999998</v>
      </c>
      <c r="T22" s="7">
        <v>118</v>
      </c>
      <c r="U22" s="6">
        <v>43665</v>
      </c>
      <c r="V22" s="7">
        <v>9480683443</v>
      </c>
      <c r="W22" s="10" t="s">
        <v>68</v>
      </c>
      <c r="X22" s="7" t="s">
        <v>101</v>
      </c>
      <c r="Y22" s="10" t="s">
        <v>102</v>
      </c>
      <c r="Z22" s="7" t="s">
        <v>44</v>
      </c>
      <c r="AA22" s="10" t="s">
        <v>45</v>
      </c>
      <c r="AB22" s="11">
        <f t="shared" si="1"/>
        <v>0.49678069999999996</v>
      </c>
    </row>
    <row r="23" spans="1:28" x14ac:dyDescent="0.35">
      <c r="A23" s="4">
        <v>5828</v>
      </c>
      <c r="B23" s="5" t="s">
        <v>92</v>
      </c>
      <c r="C23" s="6">
        <v>43665</v>
      </c>
      <c r="D23" s="7">
        <v>187</v>
      </c>
      <c r="E23" s="8" t="s">
        <v>49</v>
      </c>
      <c r="F23" s="7" t="s">
        <v>105</v>
      </c>
      <c r="G23" s="10" t="s">
        <v>106</v>
      </c>
      <c r="H23" s="7" t="str">
        <f>"000058"</f>
        <v>000058</v>
      </c>
      <c r="I23" s="6">
        <v>43209</v>
      </c>
      <c r="J23" s="7" t="str">
        <f>"000088"</f>
        <v>000088</v>
      </c>
      <c r="K23" s="6">
        <v>43190</v>
      </c>
      <c r="L23" s="7" t="str">
        <f>"000091"</f>
        <v>000091</v>
      </c>
      <c r="M23" s="6">
        <v>43190</v>
      </c>
      <c r="N23" s="7">
        <v>18</v>
      </c>
      <c r="O23" s="7" t="str">
        <f>"003824"</f>
        <v>003824</v>
      </c>
      <c r="P23" s="6">
        <v>43665</v>
      </c>
      <c r="Q23" s="11">
        <v>49.593429999999998</v>
      </c>
      <c r="R23" s="11">
        <v>6.3978000000000002</v>
      </c>
      <c r="S23" s="11">
        <v>43.195630000000001</v>
      </c>
      <c r="T23" s="7">
        <v>118</v>
      </c>
      <c r="U23" s="6">
        <v>43665</v>
      </c>
      <c r="V23" s="7">
        <v>9480683443</v>
      </c>
      <c r="W23" s="10" t="s">
        <v>68</v>
      </c>
      <c r="X23" s="7" t="s">
        <v>101</v>
      </c>
      <c r="Y23" s="10" t="s">
        <v>102</v>
      </c>
      <c r="Z23" s="7" t="s">
        <v>44</v>
      </c>
      <c r="AA23" s="10" t="s">
        <v>45</v>
      </c>
      <c r="AB23" s="11">
        <f t="shared" si="1"/>
        <v>0.49593429999999999</v>
      </c>
    </row>
    <row r="24" spans="1:28" x14ac:dyDescent="0.35">
      <c r="A24" s="4">
        <v>5829</v>
      </c>
      <c r="B24" s="5" t="s">
        <v>92</v>
      </c>
      <c r="C24" s="6">
        <v>43665</v>
      </c>
      <c r="D24" s="7">
        <v>187</v>
      </c>
      <c r="E24" s="8" t="s">
        <v>49</v>
      </c>
      <c r="F24" s="7" t="s">
        <v>107</v>
      </c>
      <c r="G24" s="10" t="s">
        <v>108</v>
      </c>
      <c r="H24" s="7" t="str">
        <f>"000059"</f>
        <v>000059</v>
      </c>
      <c r="I24" s="6">
        <v>43209</v>
      </c>
      <c r="J24" s="7" t="str">
        <f>"000089"</f>
        <v>000089</v>
      </c>
      <c r="K24" s="6">
        <v>43190</v>
      </c>
      <c r="L24" s="7" t="str">
        <f>"000092"</f>
        <v>000092</v>
      </c>
      <c r="M24" s="6">
        <v>43190</v>
      </c>
      <c r="N24" s="7">
        <v>18</v>
      </c>
      <c r="O24" s="7" t="str">
        <f>"003825"</f>
        <v>003825</v>
      </c>
      <c r="P24" s="6">
        <v>43665</v>
      </c>
      <c r="Q24" s="11">
        <v>49.593429999999998</v>
      </c>
      <c r="R24" s="11">
        <v>6.3978000000000002</v>
      </c>
      <c r="S24" s="11">
        <v>43.195630000000001</v>
      </c>
      <c r="T24" s="7">
        <v>118</v>
      </c>
      <c r="U24" s="6">
        <v>43665</v>
      </c>
      <c r="V24" s="7">
        <v>9480683443</v>
      </c>
      <c r="W24" s="10" t="s">
        <v>68</v>
      </c>
      <c r="X24" s="7" t="s">
        <v>101</v>
      </c>
      <c r="Y24" s="10" t="s">
        <v>102</v>
      </c>
      <c r="Z24" s="7" t="s">
        <v>44</v>
      </c>
      <c r="AA24" s="10" t="s">
        <v>45</v>
      </c>
      <c r="AB24" s="11">
        <f t="shared" si="1"/>
        <v>0.49593429999999999</v>
      </c>
    </row>
    <row r="25" spans="1:28" x14ac:dyDescent="0.35">
      <c r="A25" s="4">
        <v>5830</v>
      </c>
      <c r="B25" s="5" t="s">
        <v>92</v>
      </c>
      <c r="C25" s="6">
        <v>43665</v>
      </c>
      <c r="D25" s="7">
        <v>187</v>
      </c>
      <c r="E25" s="8" t="s">
        <v>49</v>
      </c>
      <c r="F25" s="7" t="s">
        <v>109</v>
      </c>
      <c r="G25" s="10" t="s">
        <v>110</v>
      </c>
      <c r="H25" s="7" t="str">
        <f>"000061"</f>
        <v>000061</v>
      </c>
      <c r="I25" s="6">
        <v>43209</v>
      </c>
      <c r="J25" s="7" t="str">
        <f>"000091"</f>
        <v>000091</v>
      </c>
      <c r="K25" s="6">
        <v>43190</v>
      </c>
      <c r="L25" s="7" t="str">
        <f>"000094"</f>
        <v>000094</v>
      </c>
      <c r="M25" s="6">
        <v>43190</v>
      </c>
      <c r="N25" s="7">
        <v>18</v>
      </c>
      <c r="O25" s="7" t="str">
        <f>"003827"</f>
        <v>003827</v>
      </c>
      <c r="P25" s="6">
        <v>43665</v>
      </c>
      <c r="Q25" s="11">
        <v>21.764019999999999</v>
      </c>
      <c r="R25" s="11">
        <v>2.8077999999999999</v>
      </c>
      <c r="S25" s="11">
        <v>18.956219999999998</v>
      </c>
      <c r="T25" s="7">
        <v>118</v>
      </c>
      <c r="U25" s="6">
        <v>43665</v>
      </c>
      <c r="V25" s="7">
        <v>9480683443</v>
      </c>
      <c r="W25" s="10" t="s">
        <v>111</v>
      </c>
      <c r="X25" s="7" t="s">
        <v>112</v>
      </c>
      <c r="Y25" s="10" t="s">
        <v>113</v>
      </c>
      <c r="Z25" s="7" t="s">
        <v>44</v>
      </c>
      <c r="AA25" s="10" t="s">
        <v>45</v>
      </c>
      <c r="AB25" s="11">
        <f t="shared" si="1"/>
        <v>0.21764019999999998</v>
      </c>
    </row>
    <row r="26" spans="1:28" x14ac:dyDescent="0.35">
      <c r="A26" s="4">
        <v>5831</v>
      </c>
      <c r="B26" s="5" t="s">
        <v>114</v>
      </c>
      <c r="C26" s="6">
        <v>43729</v>
      </c>
      <c r="D26" s="7">
        <v>187</v>
      </c>
      <c r="E26" s="8" t="s">
        <v>49</v>
      </c>
      <c r="F26" s="7" t="s">
        <v>115</v>
      </c>
      <c r="G26" s="10" t="s">
        <v>116</v>
      </c>
      <c r="H26" s="7" t="str">
        <f>"000067"</f>
        <v>000067</v>
      </c>
      <c r="I26" s="6">
        <v>43112</v>
      </c>
      <c r="J26" s="7" t="str">
        <f>"000030"</f>
        <v>000030</v>
      </c>
      <c r="K26" s="6">
        <v>43167</v>
      </c>
      <c r="L26" s="7" t="str">
        <f>"000004"</f>
        <v>000004</v>
      </c>
      <c r="M26" s="6">
        <v>43194</v>
      </c>
      <c r="N26" s="7">
        <v>18</v>
      </c>
      <c r="O26" s="7" t="str">
        <f>"004959"</f>
        <v>004959</v>
      </c>
      <c r="P26" s="6">
        <v>43717</v>
      </c>
      <c r="Q26" s="11">
        <v>10.85515</v>
      </c>
      <c r="R26" s="11">
        <v>1.0258</v>
      </c>
      <c r="S26" s="11">
        <v>9.8293499999999998</v>
      </c>
      <c r="T26" s="7">
        <v>194</v>
      </c>
      <c r="U26" s="6">
        <v>43729</v>
      </c>
      <c r="V26" s="7">
        <v>9999999999</v>
      </c>
      <c r="W26" s="10" t="s">
        <v>35</v>
      </c>
      <c r="X26" s="7" t="s">
        <v>33</v>
      </c>
      <c r="Y26" s="10" t="s">
        <v>34</v>
      </c>
      <c r="Z26" s="7" t="s">
        <v>46</v>
      </c>
      <c r="AA26" s="10" t="s">
        <v>96</v>
      </c>
      <c r="AB26" s="11">
        <f t="shared" si="1"/>
        <v>0.1085515</v>
      </c>
    </row>
    <row r="27" spans="1:28" x14ac:dyDescent="0.35">
      <c r="A27" s="4">
        <v>5832</v>
      </c>
      <c r="B27" s="5" t="s">
        <v>114</v>
      </c>
      <c r="C27" s="6">
        <v>43729</v>
      </c>
      <c r="D27" s="7">
        <v>187</v>
      </c>
      <c r="E27" s="8" t="s">
        <v>49</v>
      </c>
      <c r="F27" s="7" t="s">
        <v>117</v>
      </c>
      <c r="G27" s="10" t="s">
        <v>118</v>
      </c>
      <c r="H27" s="7" t="str">
        <f>"000068"</f>
        <v>000068</v>
      </c>
      <c r="I27" s="6">
        <v>43112</v>
      </c>
      <c r="J27" s="7" t="str">
        <f>"000036"</f>
        <v>000036</v>
      </c>
      <c r="K27" s="6">
        <v>43168</v>
      </c>
      <c r="L27" s="7" t="str">
        <f>"000007"</f>
        <v>000007</v>
      </c>
      <c r="M27" s="6">
        <v>43195</v>
      </c>
      <c r="N27" s="7">
        <v>18</v>
      </c>
      <c r="O27" s="7" t="str">
        <f>"004980"</f>
        <v>004980</v>
      </c>
      <c r="P27" s="6">
        <v>43717</v>
      </c>
      <c r="Q27" s="11">
        <v>44.323369999999997</v>
      </c>
      <c r="R27" s="11">
        <v>4.1885399999999997</v>
      </c>
      <c r="S27" s="11">
        <v>40.134830000000001</v>
      </c>
      <c r="T27" s="7">
        <v>194</v>
      </c>
      <c r="U27" s="6">
        <v>43729</v>
      </c>
      <c r="V27" s="7">
        <v>9999999999</v>
      </c>
      <c r="W27" s="10" t="s">
        <v>35</v>
      </c>
      <c r="X27" s="7" t="s">
        <v>33</v>
      </c>
      <c r="Y27" s="10" t="s">
        <v>34</v>
      </c>
      <c r="Z27" s="7" t="s">
        <v>46</v>
      </c>
      <c r="AA27" s="10" t="s">
        <v>96</v>
      </c>
      <c r="AB27" s="11">
        <f t="shared" si="1"/>
        <v>0.44323369999999995</v>
      </c>
    </row>
    <row r="28" spans="1:28" x14ac:dyDescent="0.35">
      <c r="A28" s="4">
        <v>5833</v>
      </c>
      <c r="B28" s="5" t="s">
        <v>114</v>
      </c>
      <c r="C28" s="6">
        <v>43729</v>
      </c>
      <c r="D28" s="7">
        <v>187</v>
      </c>
      <c r="E28" s="8" t="s">
        <v>49</v>
      </c>
      <c r="F28" s="7" t="s">
        <v>119</v>
      </c>
      <c r="G28" s="10" t="s">
        <v>120</v>
      </c>
      <c r="H28" s="7" t="str">
        <f>"000066"</f>
        <v>000066</v>
      </c>
      <c r="I28" s="6">
        <v>43112</v>
      </c>
      <c r="J28" s="7" t="str">
        <f>"000029"</f>
        <v>000029</v>
      </c>
      <c r="K28" s="6">
        <v>43167</v>
      </c>
      <c r="L28" s="7" t="str">
        <f>"000009"</f>
        <v>000009</v>
      </c>
      <c r="M28" s="6">
        <v>43195</v>
      </c>
      <c r="N28" s="7">
        <v>18</v>
      </c>
      <c r="O28" s="7" t="str">
        <f>"004981"</f>
        <v>004981</v>
      </c>
      <c r="P28" s="6">
        <v>43717</v>
      </c>
      <c r="Q28" s="11">
        <v>19.903379999999999</v>
      </c>
      <c r="R28" s="11">
        <v>1.83206</v>
      </c>
      <c r="S28" s="11">
        <v>18.07132</v>
      </c>
      <c r="T28" s="7">
        <v>194</v>
      </c>
      <c r="U28" s="6">
        <v>43729</v>
      </c>
      <c r="V28" s="7">
        <v>9999999999</v>
      </c>
      <c r="W28" s="10" t="s">
        <v>35</v>
      </c>
      <c r="X28" s="7" t="s">
        <v>33</v>
      </c>
      <c r="Y28" s="10" t="s">
        <v>34</v>
      </c>
      <c r="Z28" s="7" t="s">
        <v>46</v>
      </c>
      <c r="AA28" s="10" t="s">
        <v>96</v>
      </c>
      <c r="AB28" s="11">
        <f t="shared" si="1"/>
        <v>0.19903379999999998</v>
      </c>
    </row>
    <row r="29" spans="1:28" x14ac:dyDescent="0.35">
      <c r="A29" s="4">
        <v>5834</v>
      </c>
      <c r="B29" s="5" t="s">
        <v>114</v>
      </c>
      <c r="C29" s="6">
        <v>43729</v>
      </c>
      <c r="D29" s="7">
        <v>187</v>
      </c>
      <c r="E29" s="8" t="s">
        <v>49</v>
      </c>
      <c r="F29" s="7" t="s">
        <v>121</v>
      </c>
      <c r="G29" s="10" t="s">
        <v>122</v>
      </c>
      <c r="H29" s="7" t="str">
        <f>"000065"</f>
        <v>000065</v>
      </c>
      <c r="I29" s="6">
        <v>43112</v>
      </c>
      <c r="J29" s="7" t="str">
        <f>"000037"</f>
        <v>000037</v>
      </c>
      <c r="K29" s="6">
        <v>43168</v>
      </c>
      <c r="L29" s="7" t="str">
        <f>"000010"</f>
        <v>000010</v>
      </c>
      <c r="M29" s="6">
        <v>43195</v>
      </c>
      <c r="N29" s="7">
        <v>18</v>
      </c>
      <c r="O29" s="7" t="str">
        <f>"004982"</f>
        <v>004982</v>
      </c>
      <c r="P29" s="6">
        <v>43717</v>
      </c>
      <c r="Q29" s="11">
        <v>29.89273</v>
      </c>
      <c r="R29" s="11">
        <v>2.7511800000000002</v>
      </c>
      <c r="S29" s="11">
        <v>27.141549999999999</v>
      </c>
      <c r="T29" s="7">
        <v>194</v>
      </c>
      <c r="U29" s="6">
        <v>43729</v>
      </c>
      <c r="V29" s="7">
        <v>9999999999</v>
      </c>
      <c r="W29" s="10" t="s">
        <v>35</v>
      </c>
      <c r="X29" s="7" t="s">
        <v>33</v>
      </c>
      <c r="Y29" s="10" t="s">
        <v>34</v>
      </c>
      <c r="Z29" s="7" t="s">
        <v>46</v>
      </c>
      <c r="AA29" s="10" t="s">
        <v>96</v>
      </c>
      <c r="AB29" s="11">
        <f t="shared" si="1"/>
        <v>0.29892730000000001</v>
      </c>
    </row>
    <row r="30" spans="1:28" x14ac:dyDescent="0.35">
      <c r="A30" s="4">
        <v>5835</v>
      </c>
      <c r="B30" s="5" t="s">
        <v>123</v>
      </c>
      <c r="C30" s="6">
        <v>43752</v>
      </c>
      <c r="D30" s="4">
        <v>187</v>
      </c>
      <c r="E30" s="8" t="s">
        <v>49</v>
      </c>
      <c r="F30" s="7" t="s">
        <v>124</v>
      </c>
      <c r="G30" s="8" t="s">
        <v>125</v>
      </c>
      <c r="H30" s="7" t="str">
        <f>"000157"</f>
        <v>000157</v>
      </c>
      <c r="I30" s="6">
        <v>43166</v>
      </c>
      <c r="J30" s="7" t="str">
        <f>"000024"</f>
        <v>000024</v>
      </c>
      <c r="K30" s="6">
        <v>43220</v>
      </c>
      <c r="L30" s="7" t="str">
        <f>"000041"</f>
        <v>000041</v>
      </c>
      <c r="M30" s="6">
        <v>43220</v>
      </c>
      <c r="N30" s="7">
        <v>17</v>
      </c>
      <c r="O30" s="7" t="str">
        <f>"005673"</f>
        <v>005673</v>
      </c>
      <c r="P30" s="6">
        <v>43748</v>
      </c>
      <c r="Q30" s="9">
        <v>1.4348000000000001</v>
      </c>
      <c r="R30" s="9">
        <v>0.10438</v>
      </c>
      <c r="S30" s="9">
        <v>1.3304199999999999</v>
      </c>
      <c r="T30" s="7">
        <v>13</v>
      </c>
      <c r="U30" s="6">
        <v>43752</v>
      </c>
      <c r="V30" s="7">
        <v>8050408055</v>
      </c>
      <c r="W30" s="8" t="s">
        <v>126</v>
      </c>
      <c r="X30" s="7" t="s">
        <v>127</v>
      </c>
      <c r="Y30" s="8" t="s">
        <v>128</v>
      </c>
      <c r="Z30" s="7" t="s">
        <v>46</v>
      </c>
      <c r="AA30" s="8" t="s">
        <v>96</v>
      </c>
      <c r="AB30" s="9">
        <v>1.4348000000000001E-2</v>
      </c>
    </row>
    <row r="31" spans="1:28" x14ac:dyDescent="0.35">
      <c r="A31" s="4">
        <v>5836</v>
      </c>
      <c r="B31" s="5" t="s">
        <v>123</v>
      </c>
      <c r="C31" s="6">
        <v>43757</v>
      </c>
      <c r="D31" s="4">
        <v>187</v>
      </c>
      <c r="E31" s="8" t="s">
        <v>49</v>
      </c>
      <c r="F31" s="7" t="s">
        <v>129</v>
      </c>
      <c r="G31" s="8" t="s">
        <v>130</v>
      </c>
      <c r="H31" s="7" t="str">
        <f>"000187"</f>
        <v>000187</v>
      </c>
      <c r="I31" s="6">
        <v>43178</v>
      </c>
      <c r="J31" s="7" t="str">
        <f>"000013"</f>
        <v>000013</v>
      </c>
      <c r="K31" s="6">
        <v>43220</v>
      </c>
      <c r="L31" s="7" t="str">
        <f>"000024"</f>
        <v>000024</v>
      </c>
      <c r="M31" s="6">
        <v>43220</v>
      </c>
      <c r="N31" s="7">
        <v>18</v>
      </c>
      <c r="O31" s="7" t="str">
        <f>"005579"</f>
        <v>005579</v>
      </c>
      <c r="P31" s="6">
        <v>43739</v>
      </c>
      <c r="Q31" s="9">
        <v>29.492439999999998</v>
      </c>
      <c r="R31" s="9">
        <v>2.4714499999999999</v>
      </c>
      <c r="S31" s="9">
        <v>27.020990000000001</v>
      </c>
      <c r="T31" s="7">
        <v>13</v>
      </c>
      <c r="U31" s="6">
        <v>43757</v>
      </c>
      <c r="V31" s="7">
        <v>9999999999</v>
      </c>
      <c r="W31" s="8" t="s">
        <v>131</v>
      </c>
      <c r="X31" s="7" t="s">
        <v>132</v>
      </c>
      <c r="Y31" s="8" t="s">
        <v>133</v>
      </c>
      <c r="Z31" s="7" t="s">
        <v>46</v>
      </c>
      <c r="AA31" s="8" t="s">
        <v>96</v>
      </c>
      <c r="AB31" s="9">
        <v>0.29492439999999998</v>
      </c>
    </row>
    <row r="32" spans="1:28" x14ac:dyDescent="0.35">
      <c r="A32" s="4">
        <v>5837</v>
      </c>
      <c r="B32" s="5" t="s">
        <v>123</v>
      </c>
      <c r="C32" s="6">
        <v>43757</v>
      </c>
      <c r="D32" s="4">
        <v>187</v>
      </c>
      <c r="E32" s="8" t="s">
        <v>49</v>
      </c>
      <c r="F32" s="7" t="s">
        <v>134</v>
      </c>
      <c r="G32" s="8" t="s">
        <v>135</v>
      </c>
      <c r="H32" s="7" t="str">
        <f>"000186"</f>
        <v>000186</v>
      </c>
      <c r="I32" s="6">
        <v>43178</v>
      </c>
      <c r="J32" s="7" t="str">
        <f>"000011"</f>
        <v>000011</v>
      </c>
      <c r="K32" s="6">
        <v>43220</v>
      </c>
      <c r="L32" s="7" t="str">
        <f>"000025"</f>
        <v>000025</v>
      </c>
      <c r="M32" s="6">
        <v>43220</v>
      </c>
      <c r="N32" s="7">
        <v>18</v>
      </c>
      <c r="O32" s="7" t="str">
        <f>"005580"</f>
        <v>005580</v>
      </c>
      <c r="P32" s="6">
        <v>43739</v>
      </c>
      <c r="Q32" s="9">
        <v>28.587949999999999</v>
      </c>
      <c r="R32" s="9">
        <v>2.46712</v>
      </c>
      <c r="S32" s="9">
        <v>26.120830000000002</v>
      </c>
      <c r="T32" s="7">
        <v>13</v>
      </c>
      <c r="U32" s="6">
        <v>43757</v>
      </c>
      <c r="V32" s="7">
        <v>9999999999</v>
      </c>
      <c r="W32" s="8" t="s">
        <v>136</v>
      </c>
      <c r="X32" s="7" t="s">
        <v>132</v>
      </c>
      <c r="Y32" s="8" t="s">
        <v>133</v>
      </c>
      <c r="Z32" s="7" t="s">
        <v>46</v>
      </c>
      <c r="AA32" s="8" t="s">
        <v>96</v>
      </c>
      <c r="AB32" s="9">
        <v>0.28587950000000001</v>
      </c>
    </row>
    <row r="33" spans="1:28" x14ac:dyDescent="0.35">
      <c r="A33" s="4">
        <v>5838</v>
      </c>
      <c r="B33" s="5" t="s">
        <v>123</v>
      </c>
      <c r="C33" s="6">
        <v>43757</v>
      </c>
      <c r="D33" s="4">
        <v>187</v>
      </c>
      <c r="E33" s="8" t="s">
        <v>49</v>
      </c>
      <c r="F33" s="7" t="s">
        <v>137</v>
      </c>
      <c r="G33" s="8" t="s">
        <v>138</v>
      </c>
      <c r="H33" s="7" t="str">
        <f>"000149"</f>
        <v>000149</v>
      </c>
      <c r="I33" s="6">
        <v>43166</v>
      </c>
      <c r="J33" s="7" t="str">
        <f>"000012"</f>
        <v>000012</v>
      </c>
      <c r="K33" s="6">
        <v>43220</v>
      </c>
      <c r="L33" s="7" t="str">
        <f>"000026"</f>
        <v>000026</v>
      </c>
      <c r="M33" s="6">
        <v>43220</v>
      </c>
      <c r="N33" s="7">
        <v>18</v>
      </c>
      <c r="O33" s="7" t="str">
        <f>"005581"</f>
        <v>005581</v>
      </c>
      <c r="P33" s="6">
        <v>43739</v>
      </c>
      <c r="Q33" s="9">
        <v>24.601299999999998</v>
      </c>
      <c r="R33" s="9">
        <v>2.1230699999999998</v>
      </c>
      <c r="S33" s="9">
        <v>22.47823</v>
      </c>
      <c r="T33" s="7">
        <v>13</v>
      </c>
      <c r="U33" s="6">
        <v>43757</v>
      </c>
      <c r="V33" s="7">
        <v>9999999999</v>
      </c>
      <c r="W33" s="8" t="s">
        <v>139</v>
      </c>
      <c r="X33" s="7" t="s">
        <v>132</v>
      </c>
      <c r="Y33" s="8" t="s">
        <v>133</v>
      </c>
      <c r="Z33" s="7" t="s">
        <v>46</v>
      </c>
      <c r="AA33" s="8" t="s">
        <v>96</v>
      </c>
      <c r="AB33" s="9">
        <v>0.24601299999999998</v>
      </c>
    </row>
    <row r="34" spans="1:28" x14ac:dyDescent="0.35">
      <c r="A34" s="4">
        <v>5839</v>
      </c>
      <c r="B34" s="5" t="s">
        <v>123</v>
      </c>
      <c r="C34" s="6">
        <v>43757</v>
      </c>
      <c r="D34" s="4">
        <v>187</v>
      </c>
      <c r="E34" s="8" t="s">
        <v>49</v>
      </c>
      <c r="F34" s="7" t="s">
        <v>140</v>
      </c>
      <c r="G34" s="8" t="s">
        <v>141</v>
      </c>
      <c r="H34" s="7" t="str">
        <f>"000182"</f>
        <v>000182</v>
      </c>
      <c r="I34" s="6">
        <v>43178</v>
      </c>
      <c r="J34" s="7" t="str">
        <f>"000014"</f>
        <v>000014</v>
      </c>
      <c r="K34" s="6">
        <v>43220</v>
      </c>
      <c r="L34" s="7" t="str">
        <f>"000027"</f>
        <v>000027</v>
      </c>
      <c r="M34" s="6">
        <v>43220</v>
      </c>
      <c r="N34" s="7">
        <v>18</v>
      </c>
      <c r="O34" s="7" t="str">
        <f>"005583"</f>
        <v>005583</v>
      </c>
      <c r="P34" s="6">
        <v>43739</v>
      </c>
      <c r="Q34" s="9">
        <v>30.779859999999999</v>
      </c>
      <c r="R34" s="9">
        <v>2.6562800000000002</v>
      </c>
      <c r="S34" s="9">
        <v>28.12358</v>
      </c>
      <c r="T34" s="7">
        <v>13</v>
      </c>
      <c r="U34" s="6">
        <v>43757</v>
      </c>
      <c r="V34" s="7">
        <v>0</v>
      </c>
      <c r="W34" s="8" t="s">
        <v>142</v>
      </c>
      <c r="X34" s="7" t="s">
        <v>132</v>
      </c>
      <c r="Y34" s="8" t="s">
        <v>133</v>
      </c>
      <c r="Z34" s="7" t="s">
        <v>46</v>
      </c>
      <c r="AA34" s="8" t="s">
        <v>96</v>
      </c>
      <c r="AB34" s="9">
        <v>0.30779859999999998</v>
      </c>
    </row>
    <row r="35" spans="1:28" x14ac:dyDescent="0.35">
      <c r="A35" s="4">
        <v>5840</v>
      </c>
      <c r="B35" s="5" t="s">
        <v>123</v>
      </c>
      <c r="C35" s="6">
        <v>43757</v>
      </c>
      <c r="D35" s="4">
        <v>187</v>
      </c>
      <c r="E35" s="8" t="s">
        <v>49</v>
      </c>
      <c r="F35" s="7" t="s">
        <v>143</v>
      </c>
      <c r="G35" s="8" t="s">
        <v>144</v>
      </c>
      <c r="H35" s="7" t="str">
        <f>"000144"</f>
        <v>000144</v>
      </c>
      <c r="I35" s="6">
        <v>43166</v>
      </c>
      <c r="J35" s="7" t="str">
        <f>"000015"</f>
        <v>000015</v>
      </c>
      <c r="K35" s="6">
        <v>43220</v>
      </c>
      <c r="L35" s="7" t="str">
        <f>"000028"</f>
        <v>000028</v>
      </c>
      <c r="M35" s="6">
        <v>43220</v>
      </c>
      <c r="N35" s="7">
        <v>18</v>
      </c>
      <c r="O35" s="7" t="str">
        <f>"005592"</f>
        <v>005592</v>
      </c>
      <c r="P35" s="6">
        <v>43739</v>
      </c>
      <c r="Q35" s="9">
        <v>18.368729999999999</v>
      </c>
      <c r="R35" s="9">
        <v>1.5851999999999999</v>
      </c>
      <c r="S35" s="9">
        <v>16.783529999999999</v>
      </c>
      <c r="T35" s="7">
        <v>13</v>
      </c>
      <c r="U35" s="6">
        <v>43757</v>
      </c>
      <c r="V35" s="7">
        <v>9999999999</v>
      </c>
      <c r="W35" s="8" t="s">
        <v>142</v>
      </c>
      <c r="X35" s="7" t="s">
        <v>132</v>
      </c>
      <c r="Y35" s="8" t="s">
        <v>133</v>
      </c>
      <c r="Z35" s="7" t="s">
        <v>46</v>
      </c>
      <c r="AA35" s="8" t="s">
        <v>96</v>
      </c>
      <c r="AB35" s="9">
        <v>0.1836873</v>
      </c>
    </row>
    <row r="36" spans="1:28" x14ac:dyDescent="0.35">
      <c r="A36" s="4">
        <v>5841</v>
      </c>
      <c r="B36" s="5" t="s">
        <v>123</v>
      </c>
      <c r="C36" s="6">
        <v>43757</v>
      </c>
      <c r="D36" s="4">
        <v>187</v>
      </c>
      <c r="E36" s="8" t="s">
        <v>49</v>
      </c>
      <c r="F36" s="7" t="s">
        <v>145</v>
      </c>
      <c r="G36" s="8" t="s">
        <v>146</v>
      </c>
      <c r="H36" s="7" t="str">
        <f>"000074"</f>
        <v>000074</v>
      </c>
      <c r="I36" s="6">
        <v>42786</v>
      </c>
      <c r="J36" s="7" t="str">
        <f>"000014"</f>
        <v>000014</v>
      </c>
      <c r="K36" s="6">
        <v>43073</v>
      </c>
      <c r="L36" s="7" t="str">
        <f>"000030"</f>
        <v>000030</v>
      </c>
      <c r="M36" s="6">
        <v>43073</v>
      </c>
      <c r="N36" s="7">
        <v>17</v>
      </c>
      <c r="O36" s="7" t="str">
        <f>"005612"</f>
        <v>005612</v>
      </c>
      <c r="P36" s="6">
        <v>43739</v>
      </c>
      <c r="Q36" s="9">
        <v>8.8165700000000005</v>
      </c>
      <c r="R36" s="9">
        <v>0.77753000000000005</v>
      </c>
      <c r="S36" s="9">
        <v>8.03904</v>
      </c>
      <c r="T36" s="7">
        <v>13</v>
      </c>
      <c r="U36" s="6">
        <v>43757</v>
      </c>
      <c r="V36" s="7">
        <v>9999999999</v>
      </c>
      <c r="W36" s="8" t="s">
        <v>147</v>
      </c>
      <c r="X36" s="7" t="s">
        <v>132</v>
      </c>
      <c r="Y36" s="8" t="s">
        <v>133</v>
      </c>
      <c r="Z36" s="7" t="s">
        <v>46</v>
      </c>
      <c r="AA36" s="8" t="s">
        <v>96</v>
      </c>
      <c r="AB36" s="9">
        <v>8.81657E-2</v>
      </c>
    </row>
    <row r="37" spans="1:28" x14ac:dyDescent="0.35">
      <c r="A37" s="4">
        <v>5842</v>
      </c>
      <c r="B37" s="5" t="s">
        <v>123</v>
      </c>
      <c r="C37" s="6">
        <v>43757</v>
      </c>
      <c r="D37" s="4">
        <v>187</v>
      </c>
      <c r="E37" s="8" t="s">
        <v>49</v>
      </c>
      <c r="F37" s="7" t="s">
        <v>148</v>
      </c>
      <c r="G37" s="8" t="s">
        <v>149</v>
      </c>
      <c r="H37" s="7" t="str">
        <f>"000095"</f>
        <v>000095</v>
      </c>
      <c r="I37" s="6">
        <v>42791</v>
      </c>
      <c r="J37" s="7" t="str">
        <f>"000013"</f>
        <v>000013</v>
      </c>
      <c r="K37" s="6">
        <v>43073</v>
      </c>
      <c r="L37" s="7" t="str">
        <f>"000031"</f>
        <v>000031</v>
      </c>
      <c r="M37" s="6">
        <v>43073</v>
      </c>
      <c r="N37" s="7">
        <v>17</v>
      </c>
      <c r="O37" s="7" t="str">
        <f>"005613"</f>
        <v>005613</v>
      </c>
      <c r="P37" s="6">
        <v>43739</v>
      </c>
      <c r="Q37" s="9">
        <v>4.8921700000000001</v>
      </c>
      <c r="R37" s="9">
        <v>0.40500000000000003</v>
      </c>
      <c r="S37" s="9">
        <v>4.4871699999999999</v>
      </c>
      <c r="T37" s="7">
        <v>13</v>
      </c>
      <c r="U37" s="6">
        <v>43757</v>
      </c>
      <c r="V37" s="7">
        <v>9999999999</v>
      </c>
      <c r="W37" s="8" t="s">
        <v>147</v>
      </c>
      <c r="X37" s="7" t="s">
        <v>132</v>
      </c>
      <c r="Y37" s="8" t="s">
        <v>133</v>
      </c>
      <c r="Z37" s="7" t="s">
        <v>46</v>
      </c>
      <c r="AA37" s="8" t="s">
        <v>96</v>
      </c>
      <c r="AB37" s="9">
        <v>4.8921699999999999E-2</v>
      </c>
    </row>
    <row r="38" spans="1:28" x14ac:dyDescent="0.35">
      <c r="A38" s="4">
        <v>5843</v>
      </c>
      <c r="B38" s="5" t="s">
        <v>123</v>
      </c>
      <c r="C38" s="6">
        <v>43757</v>
      </c>
      <c r="D38" s="4">
        <v>187</v>
      </c>
      <c r="E38" s="8" t="s">
        <v>49</v>
      </c>
      <c r="F38" s="7" t="s">
        <v>150</v>
      </c>
      <c r="G38" s="8" t="s">
        <v>151</v>
      </c>
      <c r="H38" s="7" t="str">
        <f>"000070"</f>
        <v>000070</v>
      </c>
      <c r="I38" s="6">
        <v>43112</v>
      </c>
      <c r="J38" s="7" t="str">
        <f>"000035"</f>
        <v>000035</v>
      </c>
      <c r="K38" s="6">
        <v>43167</v>
      </c>
      <c r="L38" s="7" t="str">
        <f>"000008"</f>
        <v>000008</v>
      </c>
      <c r="M38" s="6">
        <v>43195</v>
      </c>
      <c r="N38" s="7">
        <v>18</v>
      </c>
      <c r="O38" s="7" t="str">
        <f>"005614"</f>
        <v>005614</v>
      </c>
      <c r="P38" s="6">
        <v>43739</v>
      </c>
      <c r="Q38" s="9">
        <v>44.903730000000003</v>
      </c>
      <c r="R38" s="9">
        <v>4.1280099999999997</v>
      </c>
      <c r="S38" s="9">
        <v>40.77572</v>
      </c>
      <c r="T38" s="7">
        <v>13</v>
      </c>
      <c r="U38" s="6">
        <v>43757</v>
      </c>
      <c r="V38" s="7">
        <v>9999999999</v>
      </c>
      <c r="W38" s="8" t="s">
        <v>35</v>
      </c>
      <c r="X38" s="7" t="s">
        <v>33</v>
      </c>
      <c r="Y38" s="8" t="s">
        <v>34</v>
      </c>
      <c r="Z38" s="7" t="s">
        <v>46</v>
      </c>
      <c r="AA38" s="8" t="s">
        <v>96</v>
      </c>
      <c r="AB38" s="9">
        <v>0.44903730000000003</v>
      </c>
    </row>
    <row r="39" spans="1:28" x14ac:dyDescent="0.35">
      <c r="A39" s="4">
        <v>5844</v>
      </c>
      <c r="B39" s="5" t="s">
        <v>123</v>
      </c>
      <c r="C39" s="6">
        <v>43762</v>
      </c>
      <c r="D39" s="4">
        <v>187</v>
      </c>
      <c r="E39" s="8" t="s">
        <v>49</v>
      </c>
      <c r="F39" s="7" t="s">
        <v>152</v>
      </c>
      <c r="G39" s="8" t="s">
        <v>153</v>
      </c>
      <c r="H39" s="7" t="str">
        <f>"000069"</f>
        <v>000069</v>
      </c>
      <c r="I39" s="6">
        <v>43112</v>
      </c>
      <c r="J39" s="7" t="str">
        <f>"000034"</f>
        <v>000034</v>
      </c>
      <c r="K39" s="6">
        <v>43167</v>
      </c>
      <c r="L39" s="7" t="str">
        <f>"000005"</f>
        <v>000005</v>
      </c>
      <c r="M39" s="6">
        <v>43194</v>
      </c>
      <c r="N39" s="7">
        <v>18</v>
      </c>
      <c r="O39" s="7" t="str">
        <f>"005866"</f>
        <v>005866</v>
      </c>
      <c r="P39" s="6">
        <v>43757</v>
      </c>
      <c r="Q39" s="9">
        <v>48.657089999999997</v>
      </c>
      <c r="R39" s="9">
        <v>4.5980699999999999</v>
      </c>
      <c r="S39" s="9">
        <v>44.059019999999997</v>
      </c>
      <c r="T39" s="7">
        <v>13</v>
      </c>
      <c r="U39" s="6">
        <v>43762</v>
      </c>
      <c r="V39" s="7">
        <v>9999999999</v>
      </c>
      <c r="W39" s="8" t="s">
        <v>35</v>
      </c>
      <c r="X39" s="7" t="s">
        <v>33</v>
      </c>
      <c r="Y39" s="8" t="s">
        <v>34</v>
      </c>
      <c r="Z39" s="7" t="s">
        <v>46</v>
      </c>
      <c r="AA39" s="8" t="s">
        <v>96</v>
      </c>
      <c r="AB39" s="9">
        <v>0.48657089999999997</v>
      </c>
    </row>
    <row r="40" spans="1:28" x14ac:dyDescent="0.35">
      <c r="A40" s="4">
        <v>5845</v>
      </c>
      <c r="B40" s="5" t="s">
        <v>123</v>
      </c>
      <c r="C40" s="6">
        <v>43768</v>
      </c>
      <c r="D40" s="4">
        <v>187</v>
      </c>
      <c r="E40" s="8" t="s">
        <v>49</v>
      </c>
      <c r="F40" s="7" t="s">
        <v>154</v>
      </c>
      <c r="G40" s="8" t="s">
        <v>155</v>
      </c>
      <c r="H40" s="7" t="str">
        <f>"000148"</f>
        <v>000148</v>
      </c>
      <c r="I40" s="6">
        <v>43166</v>
      </c>
      <c r="J40" s="7" t="str">
        <f>"000020"</f>
        <v>000020</v>
      </c>
      <c r="K40" s="6">
        <v>43220</v>
      </c>
      <c r="L40" s="7" t="str">
        <f>"000029"</f>
        <v>000029</v>
      </c>
      <c r="M40" s="6">
        <v>43220</v>
      </c>
      <c r="N40" s="7">
        <v>18</v>
      </c>
      <c r="O40" s="7" t="str">
        <f>"005900"</f>
        <v>005900</v>
      </c>
      <c r="P40" s="6">
        <v>43763</v>
      </c>
      <c r="Q40" s="9">
        <v>20.169070000000001</v>
      </c>
      <c r="R40" s="9">
        <v>1.6436599999999999</v>
      </c>
      <c r="S40" s="9">
        <v>18.525410000000001</v>
      </c>
      <c r="T40" s="7">
        <v>13</v>
      </c>
      <c r="U40" s="6">
        <v>43768</v>
      </c>
      <c r="V40" s="7">
        <v>9999999999</v>
      </c>
      <c r="W40" s="8" t="s">
        <v>156</v>
      </c>
      <c r="X40" s="7" t="s">
        <v>157</v>
      </c>
      <c r="Y40" s="8" t="s">
        <v>158</v>
      </c>
      <c r="Z40" s="7" t="s">
        <v>46</v>
      </c>
      <c r="AA40" s="8" t="s">
        <v>96</v>
      </c>
      <c r="AB40" s="9">
        <v>0.2016907</v>
      </c>
    </row>
    <row r="41" spans="1:28" x14ac:dyDescent="0.35">
      <c r="A41" s="4">
        <v>5846</v>
      </c>
      <c r="B41" s="5" t="s">
        <v>159</v>
      </c>
      <c r="C41" s="6">
        <v>43795</v>
      </c>
      <c r="D41" s="4">
        <v>187</v>
      </c>
      <c r="E41" s="8" t="s">
        <v>49</v>
      </c>
      <c r="F41" s="7" t="s">
        <v>160</v>
      </c>
      <c r="G41" s="8" t="s">
        <v>161</v>
      </c>
      <c r="H41" s="7" t="str">
        <f>"000242"</f>
        <v>000242</v>
      </c>
      <c r="I41" s="6">
        <v>43187</v>
      </c>
      <c r="J41" s="7" t="str">
        <f>"000028"</f>
        <v>000028</v>
      </c>
      <c r="K41" s="6">
        <v>43220</v>
      </c>
      <c r="L41" s="7" t="str">
        <f>"000039"</f>
        <v>000039</v>
      </c>
      <c r="M41" s="6">
        <v>43220</v>
      </c>
      <c r="N41" s="7">
        <v>18</v>
      </c>
      <c r="O41" s="7" t="str">
        <f>"006315"</f>
        <v>006315</v>
      </c>
      <c r="P41" s="6">
        <v>43791</v>
      </c>
      <c r="Q41" s="9">
        <v>14.797980000000001</v>
      </c>
      <c r="R41" s="9">
        <v>1.31402</v>
      </c>
      <c r="S41" s="9">
        <v>13.48396</v>
      </c>
      <c r="T41" s="7">
        <v>13</v>
      </c>
      <c r="U41" s="6">
        <v>43795</v>
      </c>
      <c r="V41" s="7">
        <v>9986096015</v>
      </c>
      <c r="W41" s="8" t="s">
        <v>162</v>
      </c>
      <c r="X41" s="7" t="s">
        <v>132</v>
      </c>
      <c r="Y41" s="8" t="s">
        <v>133</v>
      </c>
      <c r="Z41" s="7" t="s">
        <v>46</v>
      </c>
      <c r="AA41" s="8" t="s">
        <v>96</v>
      </c>
      <c r="AB41" s="9">
        <v>0.14797979999999999</v>
      </c>
    </row>
    <row r="42" spans="1:28" x14ac:dyDescent="0.35">
      <c r="A42" s="4">
        <v>5847</v>
      </c>
      <c r="B42" s="5" t="s">
        <v>159</v>
      </c>
      <c r="C42" s="6">
        <v>43795</v>
      </c>
      <c r="D42" s="4">
        <v>187</v>
      </c>
      <c r="E42" s="8" t="s">
        <v>49</v>
      </c>
      <c r="F42" s="7" t="s">
        <v>163</v>
      </c>
      <c r="G42" s="8" t="s">
        <v>164</v>
      </c>
      <c r="H42" s="7" t="str">
        <f>"000243"</f>
        <v>000243</v>
      </c>
      <c r="I42" s="6">
        <v>43187</v>
      </c>
      <c r="J42" s="7" t="str">
        <f>"000025"</f>
        <v>000025</v>
      </c>
      <c r="K42" s="6">
        <v>43220</v>
      </c>
      <c r="L42" s="7" t="str">
        <f>"000040"</f>
        <v>000040</v>
      </c>
      <c r="M42" s="6">
        <v>43220</v>
      </c>
      <c r="N42" s="7">
        <v>18</v>
      </c>
      <c r="O42" s="7" t="str">
        <f>"006316"</f>
        <v>006316</v>
      </c>
      <c r="P42" s="6">
        <v>43791</v>
      </c>
      <c r="Q42" s="9">
        <v>14.82647</v>
      </c>
      <c r="R42" s="9">
        <v>1.31657</v>
      </c>
      <c r="S42" s="9">
        <v>13.5099</v>
      </c>
      <c r="T42" s="7">
        <v>13</v>
      </c>
      <c r="U42" s="6">
        <v>43795</v>
      </c>
      <c r="V42" s="7">
        <v>9986096015</v>
      </c>
      <c r="W42" s="8" t="s">
        <v>162</v>
      </c>
      <c r="X42" s="7" t="s">
        <v>132</v>
      </c>
      <c r="Y42" s="8" t="s">
        <v>133</v>
      </c>
      <c r="Z42" s="7" t="s">
        <v>46</v>
      </c>
      <c r="AA42" s="8" t="s">
        <v>96</v>
      </c>
      <c r="AB42" s="9">
        <v>0.1482647</v>
      </c>
    </row>
    <row r="43" spans="1:28" x14ac:dyDescent="0.35">
      <c r="A43" s="4">
        <v>5848</v>
      </c>
      <c r="B43" s="5" t="s">
        <v>165</v>
      </c>
      <c r="C43" s="6">
        <v>43816</v>
      </c>
      <c r="D43" s="4">
        <v>187</v>
      </c>
      <c r="E43" s="8" t="s">
        <v>49</v>
      </c>
      <c r="F43" s="7" t="s">
        <v>166</v>
      </c>
      <c r="G43" s="8" t="s">
        <v>167</v>
      </c>
      <c r="H43" s="7" t="str">
        <f>"000079"</f>
        <v>000079</v>
      </c>
      <c r="I43" s="6">
        <v>43465</v>
      </c>
      <c r="J43" s="7" t="str">
        <f>"000055"</f>
        <v>000055</v>
      </c>
      <c r="K43" s="6">
        <v>43465</v>
      </c>
      <c r="L43" s="7" t="str">
        <f>"000060"</f>
        <v>000060</v>
      </c>
      <c r="M43" s="6">
        <v>43466</v>
      </c>
      <c r="N43" s="7">
        <v>19</v>
      </c>
      <c r="O43" s="7" t="str">
        <f>"006848"</f>
        <v>006848</v>
      </c>
      <c r="P43" s="6">
        <v>43815</v>
      </c>
      <c r="Q43" s="9">
        <v>49.504199999999997</v>
      </c>
      <c r="R43" s="9">
        <v>6.3864000000000001</v>
      </c>
      <c r="S43" s="9">
        <v>43.117800000000003</v>
      </c>
      <c r="T43" s="7">
        <v>13</v>
      </c>
      <c r="U43" s="6">
        <v>43816</v>
      </c>
      <c r="V43" s="7">
        <v>9945510720</v>
      </c>
      <c r="W43" s="8" t="s">
        <v>111</v>
      </c>
      <c r="X43" s="7" t="s">
        <v>33</v>
      </c>
      <c r="Y43" s="8" t="s">
        <v>34</v>
      </c>
      <c r="Z43" s="7" t="s">
        <v>44</v>
      </c>
      <c r="AA43" s="8" t="s">
        <v>45</v>
      </c>
      <c r="AB43" s="9">
        <v>0.49504199999999998</v>
      </c>
    </row>
    <row r="44" spans="1:28" x14ac:dyDescent="0.35">
      <c r="A44" s="4">
        <v>5849</v>
      </c>
      <c r="B44" s="5" t="s">
        <v>165</v>
      </c>
      <c r="C44" s="6">
        <v>43818</v>
      </c>
      <c r="D44" s="4">
        <v>187</v>
      </c>
      <c r="E44" s="8" t="s">
        <v>49</v>
      </c>
      <c r="F44" s="7" t="s">
        <v>168</v>
      </c>
      <c r="G44" s="8" t="s">
        <v>169</v>
      </c>
      <c r="H44" s="7" t="str">
        <f>"000127"</f>
        <v>000127</v>
      </c>
      <c r="I44" s="6">
        <v>43655</v>
      </c>
      <c r="J44" s="7" t="str">
        <f>"000076"</f>
        <v>000076</v>
      </c>
      <c r="K44" s="6">
        <v>43677</v>
      </c>
      <c r="L44" s="7" t="str">
        <f>"000136"</f>
        <v>000136</v>
      </c>
      <c r="M44" s="6">
        <v>43677</v>
      </c>
      <c r="N44" s="7">
        <v>19</v>
      </c>
      <c r="O44" s="7" t="str">
        <f>"006882"</f>
        <v>006882</v>
      </c>
      <c r="P44" s="6">
        <v>43818</v>
      </c>
      <c r="Q44" s="9">
        <v>97.967500000000001</v>
      </c>
      <c r="R44" s="9">
        <v>8.2333200000000009</v>
      </c>
      <c r="S44" s="9">
        <v>89.734179999999995</v>
      </c>
      <c r="T44" s="7">
        <v>13</v>
      </c>
      <c r="U44" s="6">
        <v>43818</v>
      </c>
      <c r="V44" s="7">
        <v>9999999999</v>
      </c>
      <c r="W44" s="8" t="s">
        <v>35</v>
      </c>
      <c r="X44" s="7" t="s">
        <v>170</v>
      </c>
      <c r="Y44" s="8" t="s">
        <v>171</v>
      </c>
      <c r="Z44" s="7" t="s">
        <v>46</v>
      </c>
      <c r="AA44" s="8" t="s">
        <v>96</v>
      </c>
      <c r="AB44" s="9">
        <v>0.97967499999999996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2020-01-30T07:06:37Z</dcterms:modified>
</cp:coreProperties>
</file>