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4" i="1" l="1"/>
  <c r="L64" i="1"/>
  <c r="J64" i="1"/>
  <c r="H64" i="1"/>
  <c r="O63" i="1"/>
  <c r="L63" i="1"/>
  <c r="J63" i="1"/>
  <c r="H63" i="1"/>
  <c r="O62" i="1"/>
  <c r="L62" i="1"/>
  <c r="J62" i="1"/>
  <c r="H62" i="1"/>
  <c r="O61" i="1"/>
  <c r="L61" i="1"/>
  <c r="J61" i="1"/>
  <c r="H61" i="1"/>
  <c r="O60" i="1"/>
  <c r="L60" i="1"/>
  <c r="J60" i="1"/>
  <c r="H60" i="1"/>
  <c r="O59" i="1"/>
  <c r="L59" i="1"/>
  <c r="J59" i="1"/>
  <c r="H59" i="1"/>
  <c r="O58" i="1"/>
  <c r="L58" i="1"/>
  <c r="J58" i="1"/>
  <c r="H58" i="1"/>
  <c r="O57" i="1"/>
  <c r="L57" i="1"/>
  <c r="J57" i="1"/>
  <c r="H57" i="1"/>
  <c r="O56" i="1"/>
  <c r="L56" i="1"/>
  <c r="J56" i="1"/>
  <c r="H56" i="1"/>
  <c r="O55" i="1"/>
  <c r="L55" i="1"/>
  <c r="J55" i="1"/>
  <c r="H55" i="1"/>
  <c r="O54" i="1"/>
  <c r="L54" i="1"/>
  <c r="J54" i="1"/>
  <c r="H54" i="1"/>
  <c r="O53" i="1"/>
  <c r="L53" i="1"/>
  <c r="J53" i="1"/>
  <c r="H53" i="1"/>
  <c r="O52" i="1"/>
  <c r="L52" i="1"/>
  <c r="J52" i="1"/>
  <c r="H52" i="1"/>
  <c r="O51" i="1"/>
  <c r="L51" i="1"/>
  <c r="J51" i="1"/>
  <c r="H51" i="1"/>
  <c r="O50" i="1"/>
  <c r="L50" i="1"/>
  <c r="J50" i="1"/>
  <c r="H50" i="1"/>
  <c r="O49" i="1"/>
  <c r="L49" i="1"/>
  <c r="J49" i="1"/>
  <c r="H49" i="1"/>
  <c r="O48" i="1"/>
  <c r="L48" i="1"/>
  <c r="J48" i="1"/>
  <c r="H48" i="1"/>
  <c r="O47" i="1"/>
  <c r="L47" i="1"/>
  <c r="J47" i="1"/>
  <c r="H47" i="1"/>
  <c r="O46" i="1"/>
  <c r="L46" i="1"/>
  <c r="J46" i="1"/>
  <c r="H46" i="1"/>
  <c r="O45" i="1"/>
  <c r="L45" i="1"/>
  <c r="J45" i="1"/>
  <c r="H45" i="1"/>
  <c r="O44" i="1"/>
  <c r="L44" i="1"/>
  <c r="J44" i="1"/>
  <c r="H44" i="1"/>
  <c r="O43" i="1"/>
  <c r="L43" i="1"/>
  <c r="J43" i="1"/>
  <c r="H43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O30" i="1"/>
  <c r="L30" i="1"/>
  <c r="J30" i="1"/>
  <c r="H30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<sst xmlns="http://schemas.openxmlformats.org/spreadsheetml/2006/main" count="595" uniqueCount="181">
  <si>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</si>
  <si>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</si>
  <si>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</si>
  <si>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</si>
  <si>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</si>
  <si>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</si>
  <si>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</si>
  <si>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</si>
  <si>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</si>
  <si>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</si>
  <si>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</si>
  <si>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</si>
  <si>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</si>
  <si>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</si>
  <si>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</si>
  <si>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</si>
  <si>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</si>
  <si>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</si>
  <si>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</si>
  <si>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</si>
  <si>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</si>
  <si>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</si>
  <si>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</si>
  <si>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</si>
  <si>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</si>
  <si>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</si>
  <si>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</si>
  <si>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</si>
  <si>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</si>
  <si>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</si>
  <si>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</si>
  <si>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</si>
  <si>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</si>
  <si>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</si>
  <si>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</si>
  <si>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P3111</t>
  </si>
  <si>
    <t>State Finance Commission Untied Grant Works</t>
  </si>
  <si>
    <t>P3075</t>
  </si>
  <si>
    <t>Special comprehensive development works in Bangalore city (Bangalore city in charge Minister Discretionary Grants)</t>
  </si>
  <si>
    <t>KRIDL</t>
  </si>
  <si>
    <t xml:space="preserve">M/s KRIDL </t>
  </si>
  <si>
    <t>P3089</t>
  </si>
  <si>
    <t>Special Development works in 7 CMC and 1 TMC area in BBMP</t>
  </si>
  <si>
    <t>ddo439</t>
  </si>
  <si>
    <t xml:space="preserve"> Executive Engineer Electrical Division Bomanahalli Zone</t>
  </si>
  <si>
    <t>M Ramesh</t>
  </si>
  <si>
    <t>P0613</t>
  </si>
  <si>
    <t>Redoing of Road cut Portions (Deposit Contributions)</t>
  </si>
  <si>
    <t>ddo438</t>
  </si>
  <si>
    <t xml:space="preserve"> Executive Engineer Project Division Bomanahalli Zone</t>
  </si>
  <si>
    <t>Singa Sandra</t>
  </si>
  <si>
    <t>191-18-000012</t>
  </si>
  <si>
    <t>Improvements to road and drain at trophical paradise Layout Kudlu Village in Singasandra ward no 191</t>
  </si>
  <si>
    <t>ddo443</t>
  </si>
  <si>
    <t xml:space="preserve"> Assistant Executive Engineer Begur Sub Division Bomanahalli Zone</t>
  </si>
  <si>
    <t>191-17-000010</t>
  </si>
  <si>
    <t>Drilling of borewells and supplying of driking water in ward No 191 Singasandra POW 2016-17</t>
  </si>
  <si>
    <t>Jayanna</t>
  </si>
  <si>
    <t>191-15-000016</t>
  </si>
  <si>
    <t>Annual Maintenance of Borewells Kudlu village and Singasandra village in ward No 191 Singasandra</t>
  </si>
  <si>
    <t xml:space="preserve">Venkata Krishna </t>
  </si>
  <si>
    <t>191-15-000018</t>
  </si>
  <si>
    <t>Annual Maintenance of ward in ward No 191 Singasandra</t>
  </si>
  <si>
    <t>Venkata Krishna</t>
  </si>
  <si>
    <t>191-16-000002</t>
  </si>
  <si>
    <t>Annual Operation and Maintenance of street lighting system in Parappana agrahara C.K Nagar Naganatahpura and Associated Area of ward no- 191 singasandra Package B8B of Bommanahalli zone.</t>
  </si>
  <si>
    <t>M/s. A K Enterprises</t>
  </si>
  <si>
    <t>191-17-000049</t>
  </si>
  <si>
    <t>Improvements to roads and drains at VGP Layout and surrounding areas in ward no 191</t>
  </si>
  <si>
    <t>191-16-000001</t>
  </si>
  <si>
    <t>Annual Operation and Maintenance of street lighting system in Kudlu Singasandra AECS Layout and Associated Area of ward no- 191 singasandra Package B8A of Bommanahalli zone.</t>
  </si>
  <si>
    <t>M/s. Ganesh Electricals</t>
  </si>
  <si>
    <t>191-19-000018</t>
  </si>
  <si>
    <t>Restoration of Road cut portion done by BWSSB -BESCOM-KPTCL in Doctors layout SLV layout Cemic road in 191 in Bengaluru South Division roads under BBMP Limits Phase-1</t>
  </si>
  <si>
    <t>191-17-000047</t>
  </si>
  <si>
    <t>Improvements to roads and drainage system at Balappa layout and Sai meadows layout in ward no 191</t>
  </si>
  <si>
    <t>191-17-000045</t>
  </si>
  <si>
    <t>Improvements of roads and drains at New Slum board in ward no 191 Singasandra</t>
  </si>
  <si>
    <t>191-17-000048</t>
  </si>
  <si>
    <t>Improvements to roads and at Yashodamma layout and surrounding areas in ward no 191</t>
  </si>
  <si>
    <t>191-17-000043</t>
  </si>
  <si>
    <t>Improvements to roads and drains at Kalanikethan school Surrounding roads of AECS Layout Kudlu Village in ward no 191 Singasandra</t>
  </si>
  <si>
    <t>191-17-000044</t>
  </si>
  <si>
    <t>Improvements to roads and drains Oppsite to Pepsi Godown AECS Layout in ward no 191 Singasandra</t>
  </si>
  <si>
    <t>191-17-000065</t>
  </si>
  <si>
    <t xml:space="preserve">Providing CC road, RCC drain and Asphalting to roads in Yashodhamma Layout of Kudlu </t>
  </si>
  <si>
    <t>191-17-000066</t>
  </si>
  <si>
    <t xml:space="preserve">Providing CC road, RCC drain and Asphalting to roads in Jayappa Layout of Kudlu </t>
  </si>
  <si>
    <t>191-17-000070</t>
  </si>
  <si>
    <t xml:space="preserve">Providing CC road, RCC drain and Asphalting to roads in Anjaneya Layout of Kudlu </t>
  </si>
  <si>
    <t>191-17-000068</t>
  </si>
  <si>
    <t xml:space="preserve">Providing CC road, RCC drain and Asphalting to roads in Ambedkar colony of Kudlu </t>
  </si>
  <si>
    <t>191-17-000063</t>
  </si>
  <si>
    <t xml:space="preserve">Providing CC road, RCC drain and Asphalting to roads in Muneshwara Layout of Kudlu </t>
  </si>
  <si>
    <t>191-17-000069</t>
  </si>
  <si>
    <t xml:space="preserve">Providing CC road, RCC drain, Asphalting to roads and Drilling of borewell, pipelines in Jayapragathi Layout of Kudlu </t>
  </si>
  <si>
    <t>191-17-000062</t>
  </si>
  <si>
    <t xml:space="preserve">Providing CC road, RCC drain and Asphalting to roads in Concorde Layout of Kudlu </t>
  </si>
  <si>
    <t>191-17-000071</t>
  </si>
  <si>
    <t xml:space="preserve">Providing CC road, RCC drain and Asphalting to roads in Reliable wood Layout of Kudlu </t>
  </si>
  <si>
    <t>191-17-000008</t>
  </si>
  <si>
    <t>Providing and errection of Name boards to the streets of Parappana Agrahara village and layouts in ward No 191 Singasandra POW 2016-17</t>
  </si>
  <si>
    <t>S Ravikumar</t>
  </si>
  <si>
    <t>191-17-000064</t>
  </si>
  <si>
    <t xml:space="preserve">Providing CC road, RCC drain and Asphalting to roads in BTR Garden of Kudlu </t>
  </si>
  <si>
    <t>July</t>
  </si>
  <si>
    <t>191-17-000067</t>
  </si>
  <si>
    <t xml:space="preserve">Providing CC road, RCC drain, Asphalting to roads and Drilling of borewell, pipelines in BTR Garden 2nd stage of Kudlu </t>
  </si>
  <si>
    <t>191-15-000033</t>
  </si>
  <si>
    <t xml:space="preserve">Asphalting to roads Opposit to ND Ascent appartment AECS layout A block in ward No 191 Singasandra </t>
  </si>
  <si>
    <t>M/s KRIDL</t>
  </si>
  <si>
    <t>August</t>
  </si>
  <si>
    <t>191-18-000008</t>
  </si>
  <si>
    <t>Construction of Compound wall and Development of Kudlu village Community Hall Surrounding area in ward no 191</t>
  </si>
  <si>
    <t>191-15-000041</t>
  </si>
  <si>
    <t xml:space="preserve">Ashalting to Ganesha temple backside roads at AECS layout A block in ward No 191 Singasandra </t>
  </si>
  <si>
    <t>310-11-000025</t>
  </si>
  <si>
    <t>Setting up and operation of Nisurgruna Bio-gas plant for generation of energy from Bio degredable waste of 5MTPD in ward No. 191 KCDC</t>
  </si>
  <si>
    <t>M/S ASHOKA BIOGREEN PVT LTD</t>
  </si>
  <si>
    <t>P2200</t>
  </si>
  <si>
    <t>Works to be taken up under 13th Finance Commission</t>
  </si>
  <si>
    <t>ddo326</t>
  </si>
  <si>
    <t xml:space="preserve"> Executive Engineer SWM 1 Central Zone</t>
  </si>
  <si>
    <t>191-15-000035</t>
  </si>
  <si>
    <t xml:space="preserve">Asphalting of roads at Raghuramreddy layout of Kudlu village in ward No 191 Singasandra </t>
  </si>
  <si>
    <t>191-15-000045</t>
  </si>
  <si>
    <t xml:space="preserve">Improvements of roads and drains at Sai sadguru school road in Kudlu Village in ward No 191 of Begur sub division </t>
  </si>
  <si>
    <t>October</t>
  </si>
  <si>
    <t>191-17-000059</t>
  </si>
  <si>
    <t>Providing LED Street light fittings and control switches in Kudlu village and associated layouts in ward no 191 Begur subdivision</t>
  </si>
  <si>
    <t>191-17-000009</t>
  </si>
  <si>
    <t>Providing and errection of Name boards to the streets of Naganathapura village and layouts in ward No 191 Singasandra POW 2016-17</t>
  </si>
  <si>
    <t>Pratish Kumar S R</t>
  </si>
  <si>
    <t>191-17-000003</t>
  </si>
  <si>
    <t>Annual Maintenance of Sanitary in ward No 191 Singasanda POW 2016-17</t>
  </si>
  <si>
    <t>191-17-000007</t>
  </si>
  <si>
    <t>Providing and errection of Name boards to the streets of Singsandra village and layouts in ward No 191 Singasandra POW 2016-17</t>
  </si>
  <si>
    <t>191-17-000002</t>
  </si>
  <si>
    <t>Annual Maintenance of ward in ward no 191 Singasandra POW 2016-17</t>
  </si>
  <si>
    <t>191-18-000031</t>
  </si>
  <si>
    <t>Annual Maintenance of Borewells Naganathapura village and Parappana Agrahara village in ward No 191 Singasandra POW 2017-18</t>
  </si>
  <si>
    <t>Sri Francis A</t>
  </si>
  <si>
    <t>November</t>
  </si>
  <si>
    <t>191-16-000010</t>
  </si>
  <si>
    <t>Drilling of borewells and laying of Pipe line at Parappana Agrahara village in ward No 191 POW 2015-16</t>
  </si>
  <si>
    <t>Sri B N Gururaja</t>
  </si>
  <si>
    <t>191-16-000009</t>
  </si>
  <si>
    <t>Drilling of borewells and laying of Pipe line at Kudlu village in ward No 191 POW 2015-16</t>
  </si>
  <si>
    <t>Sri Gururaja B N</t>
  </si>
  <si>
    <t>191-17-000025</t>
  </si>
  <si>
    <t>Improvements and asphalting at roads in GDR layout and cross roads in Naganathapura ward no 191</t>
  </si>
  <si>
    <t>Sri N K Mohan Murali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</si>
  <si>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</si>
  <si>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</si>
  <si>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191-17-000024</t>
  </si>
  <si>
    <t>Improvements to drains and asphalting at roads in Bhuvaneshwari layout in Naganathapura ward no 191</t>
  </si>
  <si>
    <t>191-17-000026</t>
  </si>
  <si>
    <t>Improvements and asphalting at roads in Doctors layout and main roads in Naganathapura ward no 191</t>
  </si>
  <si>
    <t>191-17-000016</t>
  </si>
  <si>
    <t>Providing Street lights fittings, controle swithches and controle wires at Parappana Agrahara village in ward No 191 Singasandra POW 2016-17</t>
  </si>
  <si>
    <t>M/s. Shree hari Electrial</t>
  </si>
  <si>
    <t>191-17-000017</t>
  </si>
  <si>
    <t>Providing street light fittings, controle switches and controle wires at Singasandra village in ward No 191 Singasandra POW 2016-17</t>
  </si>
  <si>
    <t>191-17-000015</t>
  </si>
  <si>
    <t>Providing street light fittings, controle switches and controle wires at Naganathapura village in ward No 191 Singasandra POW 2016-17</t>
  </si>
  <si>
    <t>191-18-000038</t>
  </si>
  <si>
    <t>Supplying of driking water through tankers at Parappana Agrahara village in ward No 191 Singasandra POW 2017-18 Water supply</t>
  </si>
  <si>
    <t>S R Prathish Kumar</t>
  </si>
  <si>
    <t>P1802</t>
  </si>
  <si>
    <t>Water Supply New Areas</t>
  </si>
  <si>
    <t>191-18-000033</t>
  </si>
  <si>
    <t>Supplying of driking water through tankers at Naganathapura Agrahara village in ward No 191 Singasandra POW 2017-18</t>
  </si>
  <si>
    <t xml:space="preserve">S R Prathish Kumar </t>
  </si>
  <si>
    <t>191-18-000039</t>
  </si>
  <si>
    <t>Supplying of driking water through tankers at Kudlu village in ward No 191 Singasandra POW 2017-18 Water supply</t>
  </si>
  <si>
    <t>December</t>
  </si>
  <si>
    <t>191-17-000012</t>
  </si>
  <si>
    <t>Improvements of cross roads and drains of Parappana Agrahara village main road in ward No 191 Singasandra POW 2016-17</t>
  </si>
  <si>
    <t>191-15-000003</t>
  </si>
  <si>
    <t>Improvements to roads and drains at Sridevi hotel back side Singasandra village in ward No 191 Singasandra</t>
  </si>
  <si>
    <t>Sri S R Prathish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</si>
</sst>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tabSelected="1" workbookViewId="0">
      <selection activeCell="E3" sqref="E3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5429687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5924</v>
      </c>
      <c r="B2" s="5" t="s">
        <v>28</v>
      </c>
      <c r="C2" s="6">
        <v>43559</v>
      </c>
      <c r="D2" s="7">
        <v>191</v>
      </c>
      <c r="E2" s="8" t="s">
        <v>50</v>
      </c>
      <c r="F2" s="7" t="s">
        <v>51</v>
      </c>
      <c r="G2" s="8" t="s">
        <v>52</v>
      </c>
      <c r="H2" s="7" t="str">
        <f>"000164"</f>
        <v>000164</v>
      </c>
      <c r="I2" s="6">
        <v>43085</v>
      </c>
      <c r="J2" s="7" t="str">
        <f>"000126"</f>
        <v>000126</v>
      </c>
      <c r="K2" s="6">
        <v>43549</v>
      </c>
      <c r="L2" s="7" t="str">
        <f>"000434"</f>
        <v>000434</v>
      </c>
      <c r="M2" s="6">
        <v>43549</v>
      </c>
      <c r="N2" s="7">
        <v>18</v>
      </c>
      <c r="O2" s="7" t="str">
        <f>"000009"</f>
        <v>000009</v>
      </c>
      <c r="P2" s="6">
        <v>43558</v>
      </c>
      <c r="Q2" s="9">
        <v>39.997300000000003</v>
      </c>
      <c r="R2" s="9">
        <v>5.8439899999999998</v>
      </c>
      <c r="S2" s="9">
        <v>34.153309999999998</v>
      </c>
      <c r="T2" s="7">
        <v>1</v>
      </c>
      <c r="U2" s="6">
        <v>43559</v>
      </c>
      <c r="V2" s="7">
        <v>9900294676</v>
      </c>
      <c r="W2" s="8" t="s">
        <v>40</v>
      </c>
      <c r="X2" s="7" t="s">
        <v>35</v>
      </c>
      <c r="Y2" s="8" t="s">
        <v>36</v>
      </c>
      <c r="Z2" s="7" t="s">
        <v>53</v>
      </c>
      <c r="AA2" s="8" t="s">
        <v>54</v>
      </c>
      <c r="AB2" s="9">
        <f t="shared" ref="AB2:AB28" si="0">Q2/100</f>
        <v>0.39997300000000002</v>
      </c>
    </row>
    <row r="3" spans="1:28" x14ac:dyDescent="0.35">
      <c r="A3" s="4">
        <v>5925</v>
      </c>
      <c r="B3" s="5" t="s">
        <v>28</v>
      </c>
      <c r="C3" s="6">
        <v>43566</v>
      </c>
      <c r="D3" s="7">
        <v>191</v>
      </c>
      <c r="E3" s="8" t="s">
        <v>50</v>
      </c>
      <c r="F3" s="7" t="s">
        <v>55</v>
      </c>
      <c r="G3" s="8" t="s">
        <v>56</v>
      </c>
      <c r="H3" s="7" t="str">
        <f>"000092"</f>
        <v>000092</v>
      </c>
      <c r="I3" s="6">
        <v>43036</v>
      </c>
      <c r="J3" s="7" t="str">
        <f>"000017"</f>
        <v>000017</v>
      </c>
      <c r="K3" s="6">
        <v>43238</v>
      </c>
      <c r="L3" s="7" t="str">
        <f>"000071"</f>
        <v>000071</v>
      </c>
      <c r="M3" s="6">
        <v>43244</v>
      </c>
      <c r="N3" s="7">
        <v>17</v>
      </c>
      <c r="O3" s="7" t="str">
        <f>"000191"</f>
        <v>000191</v>
      </c>
      <c r="P3" s="6">
        <v>43563</v>
      </c>
      <c r="Q3" s="9">
        <v>31.07</v>
      </c>
      <c r="R3" s="9">
        <v>3.3494999999999999</v>
      </c>
      <c r="S3" s="9">
        <v>27.720500000000001</v>
      </c>
      <c r="T3" s="7">
        <v>11</v>
      </c>
      <c r="U3" s="6">
        <v>43566</v>
      </c>
      <c r="V3" s="7">
        <v>9535303022</v>
      </c>
      <c r="W3" s="8" t="s">
        <v>57</v>
      </c>
      <c r="X3" s="7" t="s">
        <v>30</v>
      </c>
      <c r="Y3" s="8" t="s">
        <v>31</v>
      </c>
      <c r="Z3" s="7" t="s">
        <v>53</v>
      </c>
      <c r="AA3" s="8" t="s">
        <v>54</v>
      </c>
      <c r="AB3" s="9">
        <f t="shared" si="0"/>
        <v>0.31069999999999998</v>
      </c>
    </row>
    <row r="4" spans="1:28" x14ac:dyDescent="0.35">
      <c r="A4" s="4">
        <v>5926</v>
      </c>
      <c r="B4" s="5" t="s">
        <v>28</v>
      </c>
      <c r="C4" s="6">
        <v>43566</v>
      </c>
      <c r="D4" s="7">
        <v>191</v>
      </c>
      <c r="E4" s="8" t="s">
        <v>50</v>
      </c>
      <c r="F4" s="7" t="s">
        <v>58</v>
      </c>
      <c r="G4" s="8" t="s">
        <v>59</v>
      </c>
      <c r="H4" s="7" t="str">
        <f>"000309"</f>
        <v>000309</v>
      </c>
      <c r="I4" s="6">
        <v>42094</v>
      </c>
      <c r="J4" s="7" t="str">
        <f>"000102"</f>
        <v>000102</v>
      </c>
      <c r="K4" s="6">
        <v>42916</v>
      </c>
      <c r="L4" s="7" t="str">
        <f>"000205"</f>
        <v>000205</v>
      </c>
      <c r="M4" s="6">
        <v>42916</v>
      </c>
      <c r="N4" s="7">
        <v>15</v>
      </c>
      <c r="O4" s="7" t="str">
        <f>"000093"</f>
        <v>000093</v>
      </c>
      <c r="P4" s="6">
        <v>43563</v>
      </c>
      <c r="Q4" s="9">
        <v>9.9879999999999995</v>
      </c>
      <c r="R4" s="9">
        <v>1.3099000000000001</v>
      </c>
      <c r="S4" s="9">
        <v>8.6781000000000006</v>
      </c>
      <c r="T4" s="7">
        <v>12</v>
      </c>
      <c r="U4" s="6">
        <v>43566</v>
      </c>
      <c r="V4" s="7">
        <v>9141648915</v>
      </c>
      <c r="W4" s="8" t="s">
        <v>60</v>
      </c>
      <c r="X4" s="7" t="s">
        <v>30</v>
      </c>
      <c r="Y4" s="8" t="s">
        <v>31</v>
      </c>
      <c r="Z4" s="7" t="s">
        <v>53</v>
      </c>
      <c r="AA4" s="8" t="s">
        <v>54</v>
      </c>
      <c r="AB4" s="9">
        <f t="shared" si="0"/>
        <v>9.9879999999999997E-2</v>
      </c>
    </row>
    <row r="5" spans="1:28" x14ac:dyDescent="0.35">
      <c r="A5" s="4">
        <v>5927</v>
      </c>
      <c r="B5" s="5" t="s">
        <v>28</v>
      </c>
      <c r="C5" s="6">
        <v>43566</v>
      </c>
      <c r="D5" s="7">
        <v>191</v>
      </c>
      <c r="E5" s="8" t="s">
        <v>50</v>
      </c>
      <c r="F5" s="7" t="s">
        <v>61</v>
      </c>
      <c r="G5" s="8" t="s">
        <v>62</v>
      </c>
      <c r="H5" s="7" t="str">
        <f>"000308"</f>
        <v>000308</v>
      </c>
      <c r="I5" s="6">
        <v>42094</v>
      </c>
      <c r="J5" s="7" t="str">
        <f>"000010"</f>
        <v>000010</v>
      </c>
      <c r="K5" s="6">
        <v>42916</v>
      </c>
      <c r="L5" s="7" t="str">
        <f>"000206"</f>
        <v>000206</v>
      </c>
      <c r="M5" s="6">
        <v>42916</v>
      </c>
      <c r="N5" s="7">
        <v>15</v>
      </c>
      <c r="O5" s="7" t="str">
        <f>"000094"</f>
        <v>000094</v>
      </c>
      <c r="P5" s="6">
        <v>43563</v>
      </c>
      <c r="Q5" s="9">
        <v>10.42</v>
      </c>
      <c r="R5" s="9">
        <v>1.4390000000000001</v>
      </c>
      <c r="S5" s="9">
        <v>8.9809999999999999</v>
      </c>
      <c r="T5" s="7">
        <v>12</v>
      </c>
      <c r="U5" s="6">
        <v>43566</v>
      </c>
      <c r="V5" s="7">
        <v>9141648915</v>
      </c>
      <c r="W5" s="8" t="s">
        <v>63</v>
      </c>
      <c r="X5" s="7" t="s">
        <v>30</v>
      </c>
      <c r="Y5" s="8" t="s">
        <v>31</v>
      </c>
      <c r="Z5" s="7" t="s">
        <v>53</v>
      </c>
      <c r="AA5" s="8" t="s">
        <v>54</v>
      </c>
      <c r="AB5" s="9">
        <f t="shared" si="0"/>
        <v>0.1042</v>
      </c>
    </row>
    <row r="6" spans="1:28" x14ac:dyDescent="0.35">
      <c r="A6" s="4">
        <v>5928</v>
      </c>
      <c r="B6" s="5" t="s">
        <v>28</v>
      </c>
      <c r="C6" s="6">
        <v>43575</v>
      </c>
      <c r="D6" s="7">
        <v>191</v>
      </c>
      <c r="E6" s="8" t="s">
        <v>50</v>
      </c>
      <c r="F6" s="7" t="s">
        <v>64</v>
      </c>
      <c r="G6" s="8" t="s">
        <v>65</v>
      </c>
      <c r="H6" s="7" t="str">
        <f>"000017"</f>
        <v>000017</v>
      </c>
      <c r="I6" s="6">
        <v>42934</v>
      </c>
      <c r="J6" s="7" t="str">
        <f>"000096"</f>
        <v>000096</v>
      </c>
      <c r="K6" s="6">
        <v>43519</v>
      </c>
      <c r="L6" s="7" t="str">
        <f>"000098"</f>
        <v>000098</v>
      </c>
      <c r="M6" s="6">
        <v>43519</v>
      </c>
      <c r="N6" s="7">
        <v>16</v>
      </c>
      <c r="O6" s="7" t="str">
        <f>"001090"</f>
        <v>001090</v>
      </c>
      <c r="P6" s="6">
        <v>43581</v>
      </c>
      <c r="Q6" s="9">
        <v>2.9659900000000001</v>
      </c>
      <c r="R6" s="9">
        <v>0.43115999999999999</v>
      </c>
      <c r="S6" s="9">
        <v>2.5348299999999999</v>
      </c>
      <c r="T6" s="7">
        <v>20</v>
      </c>
      <c r="U6" s="6">
        <v>43575</v>
      </c>
      <c r="V6" s="7">
        <v>9448522225</v>
      </c>
      <c r="W6" s="8" t="s">
        <v>66</v>
      </c>
      <c r="X6" s="7" t="s">
        <v>34</v>
      </c>
      <c r="Y6" s="8" t="s">
        <v>33</v>
      </c>
      <c r="Z6" s="7" t="s">
        <v>43</v>
      </c>
      <c r="AA6" s="8" t="s">
        <v>44</v>
      </c>
      <c r="AB6" s="9">
        <f t="shared" si="0"/>
        <v>2.9659900000000003E-2</v>
      </c>
    </row>
    <row r="7" spans="1:28" x14ac:dyDescent="0.35">
      <c r="A7" s="4">
        <v>5929</v>
      </c>
      <c r="B7" s="5" t="s">
        <v>28</v>
      </c>
      <c r="C7" s="6">
        <v>43575</v>
      </c>
      <c r="D7" s="7">
        <v>191</v>
      </c>
      <c r="E7" s="8" t="s">
        <v>50</v>
      </c>
      <c r="F7" s="7" t="s">
        <v>64</v>
      </c>
      <c r="G7" s="8" t="s">
        <v>65</v>
      </c>
      <c r="H7" s="7" t="str">
        <f>"000017"</f>
        <v>000017</v>
      </c>
      <c r="I7" s="6">
        <v>42934</v>
      </c>
      <c r="J7" s="7" t="str">
        <f>"000096"</f>
        <v>000096</v>
      </c>
      <c r="K7" s="6">
        <v>43519</v>
      </c>
      <c r="L7" s="7" t="str">
        <f>"000098"</f>
        <v>000098</v>
      </c>
      <c r="M7" s="6">
        <v>43519</v>
      </c>
      <c r="N7" s="7">
        <v>16</v>
      </c>
      <c r="O7" s="7" t="str">
        <f>"001090"</f>
        <v>001090</v>
      </c>
      <c r="P7" s="6">
        <v>43581</v>
      </c>
      <c r="Q7" s="9">
        <v>8.8979900000000001</v>
      </c>
      <c r="R7" s="9">
        <v>1.3170500000000001</v>
      </c>
      <c r="S7" s="9">
        <v>7.58094</v>
      </c>
      <c r="T7" s="7">
        <v>20</v>
      </c>
      <c r="U7" s="6">
        <v>43575</v>
      </c>
      <c r="V7" s="7">
        <v>9448522225</v>
      </c>
      <c r="W7" s="8" t="s">
        <v>66</v>
      </c>
      <c r="X7" s="7" t="s">
        <v>34</v>
      </c>
      <c r="Y7" s="8" t="s">
        <v>33</v>
      </c>
      <c r="Z7" s="7" t="s">
        <v>43</v>
      </c>
      <c r="AA7" s="8" t="s">
        <v>44</v>
      </c>
      <c r="AB7" s="9">
        <f t="shared" si="0"/>
        <v>8.8979900000000001E-2</v>
      </c>
    </row>
    <row r="8" spans="1:28" x14ac:dyDescent="0.35">
      <c r="A8" s="4">
        <v>5930</v>
      </c>
      <c r="B8" s="5" t="s">
        <v>28</v>
      </c>
      <c r="C8" s="6">
        <v>43580</v>
      </c>
      <c r="D8" s="7">
        <v>191</v>
      </c>
      <c r="E8" s="8" t="s">
        <v>50</v>
      </c>
      <c r="F8" s="7" t="s">
        <v>67</v>
      </c>
      <c r="G8" s="8" t="s">
        <v>68</v>
      </c>
      <c r="H8" s="7" t="str">
        <f>"000157"</f>
        <v>000157</v>
      </c>
      <c r="I8" s="6">
        <v>42910</v>
      </c>
      <c r="J8" s="7" t="str">
        <f>"000099"</f>
        <v>000099</v>
      </c>
      <c r="K8" s="6">
        <v>42916</v>
      </c>
      <c r="L8" s="7" t="str">
        <f>"000187"</f>
        <v>000187</v>
      </c>
      <c r="M8" s="6">
        <v>42916</v>
      </c>
      <c r="N8" s="7">
        <v>17</v>
      </c>
      <c r="O8" s="7" t="str">
        <f>"000729"</f>
        <v>000729</v>
      </c>
      <c r="P8" s="6">
        <v>43578</v>
      </c>
      <c r="Q8" s="9">
        <v>39.503</v>
      </c>
      <c r="R8" s="9">
        <v>6.1931000000000003</v>
      </c>
      <c r="S8" s="9">
        <v>33.309899999999999</v>
      </c>
      <c r="T8" s="7">
        <v>28</v>
      </c>
      <c r="U8" s="6">
        <v>43580</v>
      </c>
      <c r="V8" s="7">
        <v>9886631704</v>
      </c>
      <c r="W8" s="8" t="s">
        <v>39</v>
      </c>
      <c r="X8" s="7" t="s">
        <v>41</v>
      </c>
      <c r="Y8" s="8" t="s">
        <v>42</v>
      </c>
      <c r="Z8" s="7" t="s">
        <v>53</v>
      </c>
      <c r="AA8" s="8" t="s">
        <v>54</v>
      </c>
      <c r="AB8" s="9">
        <f t="shared" si="0"/>
        <v>0.39502999999999999</v>
      </c>
    </row>
    <row r="9" spans="1:28" x14ac:dyDescent="0.35">
      <c r="A9" s="4">
        <v>5931</v>
      </c>
      <c r="B9" s="5" t="s">
        <v>28</v>
      </c>
      <c r="C9" s="6">
        <v>43580</v>
      </c>
      <c r="D9" s="7">
        <v>191</v>
      </c>
      <c r="E9" s="8" t="s">
        <v>50</v>
      </c>
      <c r="F9" s="7" t="s">
        <v>69</v>
      </c>
      <c r="G9" s="8" t="s">
        <v>70</v>
      </c>
      <c r="H9" s="7" t="str">
        <f>"000016"</f>
        <v>000016</v>
      </c>
      <c r="I9" s="6">
        <v>42934</v>
      </c>
      <c r="J9" s="7" t="str">
        <f>"000044"</f>
        <v>000044</v>
      </c>
      <c r="K9" s="6">
        <v>43396</v>
      </c>
      <c r="L9" s="7" t="str">
        <f>"000048"</f>
        <v>000048</v>
      </c>
      <c r="M9" s="6">
        <v>43403</v>
      </c>
      <c r="N9" s="7">
        <v>16</v>
      </c>
      <c r="O9" s="7" t="str">
        <f>"001120"</f>
        <v>001120</v>
      </c>
      <c r="P9" s="6">
        <v>43581</v>
      </c>
      <c r="Q9" s="9">
        <v>3.86252</v>
      </c>
      <c r="R9" s="9">
        <v>0.54705000000000004</v>
      </c>
      <c r="S9" s="9">
        <v>3.3154699999999999</v>
      </c>
      <c r="T9" s="7">
        <v>29</v>
      </c>
      <c r="U9" s="6">
        <v>43580</v>
      </c>
      <c r="V9" s="7">
        <v>9448522225</v>
      </c>
      <c r="W9" s="8" t="s">
        <v>71</v>
      </c>
      <c r="X9" s="7" t="s">
        <v>34</v>
      </c>
      <c r="Y9" s="8" t="s">
        <v>33</v>
      </c>
      <c r="Z9" s="7" t="s">
        <v>43</v>
      </c>
      <c r="AA9" s="8" t="s">
        <v>44</v>
      </c>
      <c r="AB9" s="9">
        <f t="shared" si="0"/>
        <v>3.8625199999999998E-2</v>
      </c>
    </row>
    <row r="10" spans="1:28" x14ac:dyDescent="0.35">
      <c r="A10" s="4">
        <v>5932</v>
      </c>
      <c r="B10" s="5" t="s">
        <v>28</v>
      </c>
      <c r="C10" s="6">
        <v>43582</v>
      </c>
      <c r="D10" s="7">
        <v>191</v>
      </c>
      <c r="E10" s="8" t="s">
        <v>50</v>
      </c>
      <c r="F10" s="7" t="s">
        <v>69</v>
      </c>
      <c r="G10" s="8" t="s">
        <v>70</v>
      </c>
      <c r="H10" s="7" t="str">
        <f>"000016"</f>
        <v>000016</v>
      </c>
      <c r="I10" s="6">
        <v>42934</v>
      </c>
      <c r="J10" s="7" t="str">
        <f>"000044"</f>
        <v>000044</v>
      </c>
      <c r="K10" s="6">
        <v>43396</v>
      </c>
      <c r="L10" s="7" t="str">
        <f>"000048"</f>
        <v>000048</v>
      </c>
      <c r="M10" s="6">
        <v>43403</v>
      </c>
      <c r="N10" s="7">
        <v>16</v>
      </c>
      <c r="O10" s="7" t="str">
        <f>"001120"</f>
        <v>001120</v>
      </c>
      <c r="P10" s="6">
        <v>43581</v>
      </c>
      <c r="Q10" s="9">
        <v>2.3518599999999998</v>
      </c>
      <c r="R10" s="9">
        <v>0.28022999999999998</v>
      </c>
      <c r="S10" s="9">
        <v>2.0716299999999999</v>
      </c>
      <c r="T10" s="7">
        <v>32</v>
      </c>
      <c r="U10" s="6">
        <v>43582</v>
      </c>
      <c r="V10" s="7">
        <v>9448522225</v>
      </c>
      <c r="W10" s="8" t="s">
        <v>71</v>
      </c>
      <c r="X10" s="7" t="s">
        <v>34</v>
      </c>
      <c r="Y10" s="8" t="s">
        <v>33</v>
      </c>
      <c r="Z10" s="7" t="s">
        <v>43</v>
      </c>
      <c r="AA10" s="8" t="s">
        <v>44</v>
      </c>
      <c r="AB10" s="9">
        <f t="shared" si="0"/>
        <v>2.3518599999999997E-2</v>
      </c>
    </row>
    <row r="11" spans="1:28" x14ac:dyDescent="0.35">
      <c r="A11" s="4">
        <v>5933</v>
      </c>
      <c r="B11" s="5" t="s">
        <v>28</v>
      </c>
      <c r="C11" s="6">
        <v>43582</v>
      </c>
      <c r="D11" s="7">
        <v>191</v>
      </c>
      <c r="E11" s="8" t="s">
        <v>50</v>
      </c>
      <c r="F11" s="7" t="s">
        <v>64</v>
      </c>
      <c r="G11" s="8" t="s">
        <v>65</v>
      </c>
      <c r="H11" s="7" t="str">
        <f>"000017"</f>
        <v>000017</v>
      </c>
      <c r="I11" s="6">
        <v>42934</v>
      </c>
      <c r="J11" s="7" t="str">
        <f>"000096"</f>
        <v>000096</v>
      </c>
      <c r="K11" s="6">
        <v>43519</v>
      </c>
      <c r="L11" s="7" t="str">
        <f>"000098"</f>
        <v>000098</v>
      </c>
      <c r="M11" s="6">
        <v>43519</v>
      </c>
      <c r="N11" s="7">
        <v>16</v>
      </c>
      <c r="O11" s="7" t="str">
        <f>"001090"</f>
        <v>001090</v>
      </c>
      <c r="P11" s="6">
        <v>43581</v>
      </c>
      <c r="Q11" s="9">
        <v>2.6831999999999998</v>
      </c>
      <c r="R11" s="9">
        <v>0.31941000000000003</v>
      </c>
      <c r="S11" s="9">
        <v>2.3637899999999998</v>
      </c>
      <c r="T11" s="7">
        <v>32</v>
      </c>
      <c r="U11" s="6">
        <v>43582</v>
      </c>
      <c r="V11" s="7">
        <v>9448522225</v>
      </c>
      <c r="W11" s="8" t="s">
        <v>66</v>
      </c>
      <c r="X11" s="7" t="s">
        <v>34</v>
      </c>
      <c r="Y11" s="8" t="s">
        <v>33</v>
      </c>
      <c r="Z11" s="7" t="s">
        <v>43</v>
      </c>
      <c r="AA11" s="8" t="s">
        <v>44</v>
      </c>
      <c r="AB11" s="9">
        <f t="shared" si="0"/>
        <v>2.6831999999999998E-2</v>
      </c>
    </row>
    <row r="12" spans="1:28" x14ac:dyDescent="0.35">
      <c r="A12" s="4">
        <v>5934</v>
      </c>
      <c r="B12" s="5" t="s">
        <v>28</v>
      </c>
      <c r="C12" s="6">
        <v>43582</v>
      </c>
      <c r="D12" s="7">
        <v>191</v>
      </c>
      <c r="E12" s="8" t="s">
        <v>50</v>
      </c>
      <c r="F12" s="7" t="s">
        <v>69</v>
      </c>
      <c r="G12" s="8" t="s">
        <v>70</v>
      </c>
      <c r="H12" s="7" t="str">
        <f>"000016"</f>
        <v>000016</v>
      </c>
      <c r="I12" s="6">
        <v>42934</v>
      </c>
      <c r="J12" s="7" t="str">
        <f>"000044"</f>
        <v>000044</v>
      </c>
      <c r="K12" s="6">
        <v>43396</v>
      </c>
      <c r="L12" s="7" t="str">
        <f>"000048"</f>
        <v>000048</v>
      </c>
      <c r="M12" s="6">
        <v>43403</v>
      </c>
      <c r="N12" s="7">
        <v>16</v>
      </c>
      <c r="O12" s="7" t="str">
        <f>"001120"</f>
        <v>001120</v>
      </c>
      <c r="P12" s="6">
        <v>43581</v>
      </c>
      <c r="Q12" s="9">
        <v>3.86252</v>
      </c>
      <c r="R12" s="9">
        <v>0.57389999999999997</v>
      </c>
      <c r="S12" s="9">
        <v>3.2886199999999999</v>
      </c>
      <c r="T12" s="7">
        <v>32</v>
      </c>
      <c r="U12" s="6">
        <v>43582</v>
      </c>
      <c r="V12" s="7">
        <v>9448522225</v>
      </c>
      <c r="W12" s="8" t="s">
        <v>71</v>
      </c>
      <c r="X12" s="7" t="s">
        <v>34</v>
      </c>
      <c r="Y12" s="8" t="s">
        <v>33</v>
      </c>
      <c r="Z12" s="7" t="s">
        <v>43</v>
      </c>
      <c r="AA12" s="8" t="s">
        <v>44</v>
      </c>
      <c r="AB12" s="9">
        <f t="shared" si="0"/>
        <v>3.8625199999999998E-2</v>
      </c>
    </row>
    <row r="13" spans="1:28" x14ac:dyDescent="0.35">
      <c r="A13" s="4">
        <v>5935</v>
      </c>
      <c r="B13" s="5" t="s">
        <v>28</v>
      </c>
      <c r="C13" s="6">
        <v>43582</v>
      </c>
      <c r="D13" s="7">
        <v>191</v>
      </c>
      <c r="E13" s="8" t="s">
        <v>50</v>
      </c>
      <c r="F13" s="7" t="s">
        <v>69</v>
      </c>
      <c r="G13" s="8" t="s">
        <v>70</v>
      </c>
      <c r="H13" s="7" t="str">
        <f>"000016"</f>
        <v>000016</v>
      </c>
      <c r="I13" s="6">
        <v>42934</v>
      </c>
      <c r="J13" s="7" t="str">
        <f>"000044"</f>
        <v>000044</v>
      </c>
      <c r="K13" s="6">
        <v>43396</v>
      </c>
      <c r="L13" s="7" t="str">
        <f>"000048"</f>
        <v>000048</v>
      </c>
      <c r="M13" s="6">
        <v>43403</v>
      </c>
      <c r="N13" s="7">
        <v>16</v>
      </c>
      <c r="O13" s="7" t="str">
        <f>"001120"</f>
        <v>001120</v>
      </c>
      <c r="P13" s="6">
        <v>43581</v>
      </c>
      <c r="Q13" s="9">
        <v>7.7250399999999999</v>
      </c>
      <c r="R13" s="9">
        <v>1.12646</v>
      </c>
      <c r="S13" s="9">
        <v>6.5985800000000001</v>
      </c>
      <c r="T13" s="7">
        <v>32</v>
      </c>
      <c r="U13" s="6">
        <v>43582</v>
      </c>
      <c r="V13" s="7">
        <v>9448522225</v>
      </c>
      <c r="W13" s="8" t="s">
        <v>71</v>
      </c>
      <c r="X13" s="7" t="s">
        <v>34</v>
      </c>
      <c r="Y13" s="8" t="s">
        <v>33</v>
      </c>
      <c r="Z13" s="7" t="s">
        <v>43</v>
      </c>
      <c r="AA13" s="8" t="s">
        <v>44</v>
      </c>
      <c r="AB13" s="9">
        <f t="shared" si="0"/>
        <v>7.7250399999999997E-2</v>
      </c>
    </row>
    <row r="14" spans="1:28" x14ac:dyDescent="0.35">
      <c r="A14" s="4">
        <v>5936</v>
      </c>
      <c r="B14" s="5" t="s">
        <v>32</v>
      </c>
      <c r="C14" s="6">
        <v>43588</v>
      </c>
      <c r="D14" s="7">
        <v>191</v>
      </c>
      <c r="E14" s="8" t="s">
        <v>50</v>
      </c>
      <c r="F14" s="7" t="s">
        <v>72</v>
      </c>
      <c r="G14" s="8" t="s">
        <v>73</v>
      </c>
      <c r="H14" s="7" t="str">
        <f>"000227"</f>
        <v>000227</v>
      </c>
      <c r="I14" s="6">
        <v>43531</v>
      </c>
      <c r="J14" s="7" t="str">
        <f>"000019"</f>
        <v>000019</v>
      </c>
      <c r="K14" s="6">
        <v>43591</v>
      </c>
      <c r="L14" s="7" t="str">
        <f>"000052"</f>
        <v>000052</v>
      </c>
      <c r="M14" s="6">
        <v>43593</v>
      </c>
      <c r="N14" s="7">
        <v>19</v>
      </c>
      <c r="O14" s="7" t="str">
        <f>"001475"</f>
        <v>001475</v>
      </c>
      <c r="P14" s="6">
        <v>43598</v>
      </c>
      <c r="Q14" s="9">
        <v>68.189440000000005</v>
      </c>
      <c r="R14" s="9">
        <v>2.9856799999999999</v>
      </c>
      <c r="S14" s="9">
        <v>65.203760000000003</v>
      </c>
      <c r="T14" s="7">
        <v>34</v>
      </c>
      <c r="U14" s="6">
        <v>43588</v>
      </c>
      <c r="V14" s="7">
        <v>9845057449</v>
      </c>
      <c r="W14" s="8" t="s">
        <v>45</v>
      </c>
      <c r="X14" s="7" t="s">
        <v>46</v>
      </c>
      <c r="Y14" s="8" t="s">
        <v>47</v>
      </c>
      <c r="Z14" s="7" t="s">
        <v>53</v>
      </c>
      <c r="AA14" s="8" t="s">
        <v>54</v>
      </c>
      <c r="AB14" s="9">
        <f t="shared" si="0"/>
        <v>0.68189440000000001</v>
      </c>
    </row>
    <row r="15" spans="1:28" x14ac:dyDescent="0.35">
      <c r="A15" s="4">
        <v>5937</v>
      </c>
      <c r="B15" s="5" t="s">
        <v>32</v>
      </c>
      <c r="C15" s="6">
        <v>43600</v>
      </c>
      <c r="D15" s="7">
        <v>191</v>
      </c>
      <c r="E15" s="8" t="s">
        <v>50</v>
      </c>
      <c r="F15" s="7" t="s">
        <v>72</v>
      </c>
      <c r="G15" s="8" t="s">
        <v>73</v>
      </c>
      <c r="H15" s="7" t="str">
        <f>"000227"</f>
        <v>000227</v>
      </c>
      <c r="I15" s="6">
        <v>43531</v>
      </c>
      <c r="J15" s="7" t="str">
        <f>"000019"</f>
        <v>000019</v>
      </c>
      <c r="K15" s="6">
        <v>43591</v>
      </c>
      <c r="L15" s="7" t="str">
        <f>"000052"</f>
        <v>000052</v>
      </c>
      <c r="M15" s="6">
        <v>43593</v>
      </c>
      <c r="N15" s="7">
        <v>19</v>
      </c>
      <c r="O15" s="7" t="str">
        <f>"001475"</f>
        <v>001475</v>
      </c>
      <c r="P15" s="6">
        <v>43598</v>
      </c>
      <c r="Q15" s="9">
        <v>30.858720000000002</v>
      </c>
      <c r="R15" s="9">
        <v>1.3160700000000001</v>
      </c>
      <c r="S15" s="9">
        <v>29.542649999999998</v>
      </c>
      <c r="T15" s="7">
        <v>44</v>
      </c>
      <c r="U15" s="6">
        <v>43600</v>
      </c>
      <c r="V15" s="7">
        <v>9845057449</v>
      </c>
      <c r="W15" s="8" t="s">
        <v>45</v>
      </c>
      <c r="X15" s="7" t="s">
        <v>46</v>
      </c>
      <c r="Y15" s="8" t="s">
        <v>47</v>
      </c>
      <c r="Z15" s="7" t="s">
        <v>53</v>
      </c>
      <c r="AA15" s="8" t="s">
        <v>54</v>
      </c>
      <c r="AB15" s="9">
        <f t="shared" si="0"/>
        <v>0.30858720000000001</v>
      </c>
    </row>
    <row r="16" spans="1:28" x14ac:dyDescent="0.35">
      <c r="A16" s="4">
        <v>5938</v>
      </c>
      <c r="B16" s="5" t="s">
        <v>32</v>
      </c>
      <c r="C16" s="6">
        <v>43600</v>
      </c>
      <c r="D16" s="7">
        <v>191</v>
      </c>
      <c r="E16" s="8" t="s">
        <v>50</v>
      </c>
      <c r="F16" s="7" t="s">
        <v>74</v>
      </c>
      <c r="G16" s="8" t="s">
        <v>75</v>
      </c>
      <c r="H16" s="7" t="str">
        <f>"00a155"</f>
        <v>00a155</v>
      </c>
      <c r="I16" s="6">
        <v>42910</v>
      </c>
      <c r="J16" s="7" t="str">
        <f>"000013"</f>
        <v>000013</v>
      </c>
      <c r="K16" s="6">
        <v>43103</v>
      </c>
      <c r="L16" s="7" t="str">
        <f>"000031"</f>
        <v>000031</v>
      </c>
      <c r="M16" s="6">
        <v>43110</v>
      </c>
      <c r="N16" s="7">
        <v>17</v>
      </c>
      <c r="O16" s="7" t="str">
        <f>"001392"</f>
        <v>001392</v>
      </c>
      <c r="P16" s="6">
        <v>43594</v>
      </c>
      <c r="Q16" s="9">
        <v>49.945</v>
      </c>
      <c r="R16" s="9">
        <v>6.2946999999999997</v>
      </c>
      <c r="S16" s="9">
        <v>43.650300000000001</v>
      </c>
      <c r="T16" s="7">
        <v>45</v>
      </c>
      <c r="U16" s="6">
        <v>43600</v>
      </c>
      <c r="V16" s="7">
        <v>9900294676</v>
      </c>
      <c r="W16" s="8" t="s">
        <v>39</v>
      </c>
      <c r="X16" s="7" t="s">
        <v>41</v>
      </c>
      <c r="Y16" s="8" t="s">
        <v>42</v>
      </c>
      <c r="Z16" s="7" t="s">
        <v>53</v>
      </c>
      <c r="AA16" s="8" t="s">
        <v>54</v>
      </c>
      <c r="AB16" s="9">
        <f t="shared" si="0"/>
        <v>0.49945000000000001</v>
      </c>
    </row>
    <row r="17" spans="1:28" x14ac:dyDescent="0.35">
      <c r="A17" s="4">
        <v>5939</v>
      </c>
      <c r="B17" s="5" t="s">
        <v>32</v>
      </c>
      <c r="C17" s="6">
        <v>43600</v>
      </c>
      <c r="D17" s="7">
        <v>191</v>
      </c>
      <c r="E17" s="8" t="s">
        <v>50</v>
      </c>
      <c r="F17" s="7" t="s">
        <v>76</v>
      </c>
      <c r="G17" s="8" t="s">
        <v>77</v>
      </c>
      <c r="H17" s="7" t="str">
        <f>"00a153"</f>
        <v>00a153</v>
      </c>
      <c r="I17" s="6">
        <v>42910</v>
      </c>
      <c r="J17" s="7" t="str">
        <f>"000015"</f>
        <v>000015</v>
      </c>
      <c r="K17" s="6">
        <v>43103</v>
      </c>
      <c r="L17" s="7" t="str">
        <f>"000032"</f>
        <v>000032</v>
      </c>
      <c r="M17" s="6">
        <v>43110</v>
      </c>
      <c r="N17" s="7">
        <v>17</v>
      </c>
      <c r="O17" s="7" t="str">
        <f>"001395"</f>
        <v>001395</v>
      </c>
      <c r="P17" s="6">
        <v>43594</v>
      </c>
      <c r="Q17" s="9">
        <v>99.95</v>
      </c>
      <c r="R17" s="9">
        <v>12.5959</v>
      </c>
      <c r="S17" s="9">
        <v>87.354100000000003</v>
      </c>
      <c r="T17" s="7">
        <v>45</v>
      </c>
      <c r="U17" s="6">
        <v>43600</v>
      </c>
      <c r="V17" s="7">
        <v>9900294676</v>
      </c>
      <c r="W17" s="8" t="s">
        <v>39</v>
      </c>
      <c r="X17" s="7" t="s">
        <v>41</v>
      </c>
      <c r="Y17" s="8" t="s">
        <v>42</v>
      </c>
      <c r="Z17" s="7" t="s">
        <v>53</v>
      </c>
      <c r="AA17" s="8" t="s">
        <v>54</v>
      </c>
      <c r="AB17" s="9">
        <f t="shared" si="0"/>
        <v>0.99950000000000006</v>
      </c>
    </row>
    <row r="18" spans="1:28" x14ac:dyDescent="0.35">
      <c r="A18" s="4">
        <v>5940</v>
      </c>
      <c r="B18" s="5" t="s">
        <v>32</v>
      </c>
      <c r="C18" s="6">
        <v>43600</v>
      </c>
      <c r="D18" s="7">
        <v>191</v>
      </c>
      <c r="E18" s="8" t="s">
        <v>50</v>
      </c>
      <c r="F18" s="7" t="s">
        <v>78</v>
      </c>
      <c r="G18" s="8" t="s">
        <v>79</v>
      </c>
      <c r="H18" s="7" t="str">
        <f>"00a156"</f>
        <v>00a156</v>
      </c>
      <c r="I18" s="6">
        <v>42910</v>
      </c>
      <c r="J18" s="7" t="str">
        <f>"000045"</f>
        <v>000045</v>
      </c>
      <c r="K18" s="6">
        <v>43190</v>
      </c>
      <c r="L18" s="7" t="str">
        <f>"000197"</f>
        <v>000197</v>
      </c>
      <c r="M18" s="6">
        <v>43190</v>
      </c>
      <c r="N18" s="7">
        <v>17</v>
      </c>
      <c r="O18" s="7" t="str">
        <f>"001397"</f>
        <v>001397</v>
      </c>
      <c r="P18" s="6">
        <v>43594</v>
      </c>
      <c r="Q18" s="9">
        <v>49.902999999999999</v>
      </c>
      <c r="R18" s="9">
        <v>6.2763999999999998</v>
      </c>
      <c r="S18" s="9">
        <v>43.626600000000003</v>
      </c>
      <c r="T18" s="7">
        <v>45</v>
      </c>
      <c r="U18" s="6">
        <v>43600</v>
      </c>
      <c r="V18" s="7">
        <v>9900294676</v>
      </c>
      <c r="W18" s="8" t="s">
        <v>39</v>
      </c>
      <c r="X18" s="7" t="s">
        <v>41</v>
      </c>
      <c r="Y18" s="8" t="s">
        <v>42</v>
      </c>
      <c r="Z18" s="7" t="s">
        <v>53</v>
      </c>
      <c r="AA18" s="8" t="s">
        <v>54</v>
      </c>
      <c r="AB18" s="9">
        <f t="shared" si="0"/>
        <v>0.49902999999999997</v>
      </c>
    </row>
    <row r="19" spans="1:28" x14ac:dyDescent="0.35">
      <c r="A19" s="4">
        <v>5941</v>
      </c>
      <c r="B19" s="5" t="s">
        <v>32</v>
      </c>
      <c r="C19" s="6">
        <v>43600</v>
      </c>
      <c r="D19" s="7">
        <v>191</v>
      </c>
      <c r="E19" s="8" t="s">
        <v>50</v>
      </c>
      <c r="F19" s="7" t="s">
        <v>80</v>
      </c>
      <c r="G19" s="8" t="s">
        <v>81</v>
      </c>
      <c r="H19" s="7" t="str">
        <f>"0aa151"</f>
        <v>0aa151</v>
      </c>
      <c r="I19" s="6">
        <v>42910</v>
      </c>
      <c r="J19" s="7" t="str">
        <f>"000016"</f>
        <v>000016</v>
      </c>
      <c r="K19" s="6">
        <v>43103</v>
      </c>
      <c r="L19" s="7" t="str">
        <f>"000030"</f>
        <v>000030</v>
      </c>
      <c r="M19" s="6">
        <v>43110</v>
      </c>
      <c r="N19" s="7">
        <v>17</v>
      </c>
      <c r="O19" s="7" t="str">
        <f>"001401"</f>
        <v>001401</v>
      </c>
      <c r="P19" s="6">
        <v>43594</v>
      </c>
      <c r="Q19" s="9">
        <v>49.89</v>
      </c>
      <c r="R19" s="9">
        <v>6.2899000000000003</v>
      </c>
      <c r="S19" s="9">
        <v>43.600099999999998</v>
      </c>
      <c r="T19" s="7">
        <v>45</v>
      </c>
      <c r="U19" s="6">
        <v>43600</v>
      </c>
      <c r="V19" s="7">
        <v>9900294676</v>
      </c>
      <c r="W19" s="8" t="s">
        <v>39</v>
      </c>
      <c r="X19" s="7" t="s">
        <v>41</v>
      </c>
      <c r="Y19" s="8" t="s">
        <v>42</v>
      </c>
      <c r="Z19" s="7" t="s">
        <v>53</v>
      </c>
      <c r="AA19" s="8" t="s">
        <v>54</v>
      </c>
      <c r="AB19" s="9">
        <f t="shared" si="0"/>
        <v>0.49890000000000001</v>
      </c>
    </row>
    <row r="20" spans="1:28" x14ac:dyDescent="0.35">
      <c r="A20" s="4">
        <v>5942</v>
      </c>
      <c r="B20" s="5" t="s">
        <v>32</v>
      </c>
      <c r="C20" s="6">
        <v>43600</v>
      </c>
      <c r="D20" s="7">
        <v>191</v>
      </c>
      <c r="E20" s="8" t="s">
        <v>50</v>
      </c>
      <c r="F20" s="7" t="s">
        <v>82</v>
      </c>
      <c r="G20" s="8" t="s">
        <v>83</v>
      </c>
      <c r="H20" s="7" t="str">
        <f>"00a152"</f>
        <v>00a152</v>
      </c>
      <c r="I20" s="6">
        <v>42910</v>
      </c>
      <c r="J20" s="7" t="str">
        <f>"000044"</f>
        <v>000044</v>
      </c>
      <c r="K20" s="6">
        <v>43190</v>
      </c>
      <c r="L20" s="7" t="str">
        <f>"000199"</f>
        <v>000199</v>
      </c>
      <c r="M20" s="6">
        <v>43190</v>
      </c>
      <c r="N20" s="7">
        <v>17</v>
      </c>
      <c r="O20" s="7" t="str">
        <f>"001402"</f>
        <v>001402</v>
      </c>
      <c r="P20" s="6">
        <v>43594</v>
      </c>
      <c r="Q20" s="9">
        <v>49.981999999999999</v>
      </c>
      <c r="R20" s="9">
        <v>6.2835000000000001</v>
      </c>
      <c r="S20" s="9">
        <v>43.698500000000003</v>
      </c>
      <c r="T20" s="7">
        <v>45</v>
      </c>
      <c r="U20" s="6">
        <v>43600</v>
      </c>
      <c r="V20" s="7">
        <v>9900294676</v>
      </c>
      <c r="W20" s="8" t="s">
        <v>39</v>
      </c>
      <c r="X20" s="7" t="s">
        <v>41</v>
      </c>
      <c r="Y20" s="8" t="s">
        <v>42</v>
      </c>
      <c r="Z20" s="7" t="s">
        <v>53</v>
      </c>
      <c r="AA20" s="8" t="s">
        <v>54</v>
      </c>
      <c r="AB20" s="9">
        <f t="shared" si="0"/>
        <v>0.49981999999999999</v>
      </c>
    </row>
    <row r="21" spans="1:28" x14ac:dyDescent="0.35">
      <c r="A21" s="4">
        <v>5943</v>
      </c>
      <c r="B21" s="5" t="s">
        <v>32</v>
      </c>
      <c r="C21" s="6">
        <v>43615</v>
      </c>
      <c r="D21" s="7">
        <v>191</v>
      </c>
      <c r="E21" s="8" t="s">
        <v>50</v>
      </c>
      <c r="F21" s="7" t="s">
        <v>84</v>
      </c>
      <c r="G21" s="8" t="s">
        <v>85</v>
      </c>
      <c r="H21" s="7" t="str">
        <f>"000024"</f>
        <v>000024</v>
      </c>
      <c r="I21" s="6">
        <v>42898</v>
      </c>
      <c r="J21" s="7" t="str">
        <f>"000026"</f>
        <v>000026</v>
      </c>
      <c r="K21" s="6">
        <v>43069</v>
      </c>
      <c r="L21" s="7" t="str">
        <f>"000026"</f>
        <v>000026</v>
      </c>
      <c r="M21" s="6">
        <v>43069</v>
      </c>
      <c r="N21" s="7">
        <v>17</v>
      </c>
      <c r="O21" s="7" t="str">
        <f>"002235"</f>
        <v>002235</v>
      </c>
      <c r="P21" s="6">
        <v>43613</v>
      </c>
      <c r="Q21" s="9">
        <v>49.264099999999999</v>
      </c>
      <c r="R21" s="9">
        <v>5.58988</v>
      </c>
      <c r="S21" s="9">
        <v>43.674219999999998</v>
      </c>
      <c r="T21" s="7">
        <v>65</v>
      </c>
      <c r="U21" s="6">
        <v>43615</v>
      </c>
      <c r="V21" s="7">
        <v>9999999999</v>
      </c>
      <c r="W21" s="8" t="s">
        <v>39</v>
      </c>
      <c r="X21" s="7" t="s">
        <v>37</v>
      </c>
      <c r="Y21" s="8" t="s">
        <v>38</v>
      </c>
      <c r="Z21" s="7" t="s">
        <v>48</v>
      </c>
      <c r="AA21" s="8" t="s">
        <v>49</v>
      </c>
      <c r="AB21" s="9">
        <f t="shared" si="0"/>
        <v>0.492641</v>
      </c>
    </row>
    <row r="22" spans="1:28" x14ac:dyDescent="0.35">
      <c r="A22" s="4">
        <v>5944</v>
      </c>
      <c r="B22" s="5" t="s">
        <v>32</v>
      </c>
      <c r="C22" s="6">
        <v>43615</v>
      </c>
      <c r="D22" s="7">
        <v>191</v>
      </c>
      <c r="E22" s="8" t="s">
        <v>50</v>
      </c>
      <c r="F22" s="7" t="s">
        <v>86</v>
      </c>
      <c r="G22" s="8" t="s">
        <v>87</v>
      </c>
      <c r="H22" s="7" t="str">
        <f>"000032"</f>
        <v>000032</v>
      </c>
      <c r="I22" s="6">
        <v>42898</v>
      </c>
      <c r="J22" s="7" t="str">
        <f>"000027"</f>
        <v>000027</v>
      </c>
      <c r="K22" s="6">
        <v>43069</v>
      </c>
      <c r="L22" s="7" t="str">
        <f>"000027"</f>
        <v>000027</v>
      </c>
      <c r="M22" s="6">
        <v>43069</v>
      </c>
      <c r="N22" s="7">
        <v>17</v>
      </c>
      <c r="O22" s="7" t="str">
        <f>"002236"</f>
        <v>002236</v>
      </c>
      <c r="P22" s="6">
        <v>43613</v>
      </c>
      <c r="Q22" s="9">
        <v>49.424660000000003</v>
      </c>
      <c r="R22" s="9">
        <v>5.6296499999999998</v>
      </c>
      <c r="S22" s="9">
        <v>43.795009999999998</v>
      </c>
      <c r="T22" s="7">
        <v>65</v>
      </c>
      <c r="U22" s="6">
        <v>43615</v>
      </c>
      <c r="V22" s="7">
        <v>9999999999</v>
      </c>
      <c r="W22" s="8" t="s">
        <v>39</v>
      </c>
      <c r="X22" s="7" t="s">
        <v>37</v>
      </c>
      <c r="Y22" s="8" t="s">
        <v>38</v>
      </c>
      <c r="Z22" s="7" t="s">
        <v>48</v>
      </c>
      <c r="AA22" s="8" t="s">
        <v>49</v>
      </c>
      <c r="AB22" s="9">
        <f t="shared" si="0"/>
        <v>0.49424660000000004</v>
      </c>
    </row>
    <row r="23" spans="1:28" x14ac:dyDescent="0.35">
      <c r="A23" s="4">
        <v>5945</v>
      </c>
      <c r="B23" s="5" t="s">
        <v>32</v>
      </c>
      <c r="C23" s="6">
        <v>43615</v>
      </c>
      <c r="D23" s="7">
        <v>191</v>
      </c>
      <c r="E23" s="8" t="s">
        <v>50</v>
      </c>
      <c r="F23" s="7" t="s">
        <v>88</v>
      </c>
      <c r="G23" s="8" t="s">
        <v>89</v>
      </c>
      <c r="H23" s="7" t="str">
        <f>"000030"</f>
        <v>000030</v>
      </c>
      <c r="I23" s="6">
        <v>42898</v>
      </c>
      <c r="J23" s="7" t="str">
        <f>"000030"</f>
        <v>000030</v>
      </c>
      <c r="K23" s="6">
        <v>43069</v>
      </c>
      <c r="L23" s="7" t="str">
        <f>"000030"</f>
        <v>000030</v>
      </c>
      <c r="M23" s="6">
        <v>43069</v>
      </c>
      <c r="N23" s="7">
        <v>17</v>
      </c>
      <c r="O23" s="7" t="str">
        <f>"002237"</f>
        <v>002237</v>
      </c>
      <c r="P23" s="6">
        <v>43613</v>
      </c>
      <c r="Q23" s="9">
        <v>49.51623</v>
      </c>
      <c r="R23" s="9">
        <v>5.4577</v>
      </c>
      <c r="S23" s="9">
        <v>44.058529999999998</v>
      </c>
      <c r="T23" s="7">
        <v>65</v>
      </c>
      <c r="U23" s="6">
        <v>43615</v>
      </c>
      <c r="V23" s="7">
        <v>9999999999</v>
      </c>
      <c r="W23" s="8" t="s">
        <v>39</v>
      </c>
      <c r="X23" s="7" t="s">
        <v>37</v>
      </c>
      <c r="Y23" s="8" t="s">
        <v>38</v>
      </c>
      <c r="Z23" s="7" t="s">
        <v>48</v>
      </c>
      <c r="AA23" s="8" t="s">
        <v>49</v>
      </c>
      <c r="AB23" s="9">
        <f t="shared" si="0"/>
        <v>0.4951623</v>
      </c>
    </row>
    <row r="24" spans="1:28" x14ac:dyDescent="0.35">
      <c r="A24" s="4">
        <v>5946</v>
      </c>
      <c r="B24" s="5" t="s">
        <v>32</v>
      </c>
      <c r="C24" s="6">
        <v>43615</v>
      </c>
      <c r="D24" s="7">
        <v>191</v>
      </c>
      <c r="E24" s="8" t="s">
        <v>50</v>
      </c>
      <c r="F24" s="7" t="s">
        <v>90</v>
      </c>
      <c r="G24" s="8" t="s">
        <v>91</v>
      </c>
      <c r="H24" s="7" t="str">
        <f>"000025"</f>
        <v>000025</v>
      </c>
      <c r="I24" s="6">
        <v>42898</v>
      </c>
      <c r="J24" s="7" t="str">
        <f>"000034"</f>
        <v>000034</v>
      </c>
      <c r="K24" s="6">
        <v>43069</v>
      </c>
      <c r="L24" s="7" t="str">
        <f>"000034"</f>
        <v>000034</v>
      </c>
      <c r="M24" s="6">
        <v>43069</v>
      </c>
      <c r="N24" s="7">
        <v>17</v>
      </c>
      <c r="O24" s="7" t="str">
        <f>"002238"</f>
        <v>002238</v>
      </c>
      <c r="P24" s="6">
        <v>43613</v>
      </c>
      <c r="Q24" s="9">
        <v>49.319870000000002</v>
      </c>
      <c r="R24" s="9">
        <v>5.59619</v>
      </c>
      <c r="S24" s="9">
        <v>43.723680000000002</v>
      </c>
      <c r="T24" s="7">
        <v>65</v>
      </c>
      <c r="U24" s="6">
        <v>43615</v>
      </c>
      <c r="V24" s="7">
        <v>9999999999</v>
      </c>
      <c r="W24" s="8" t="s">
        <v>39</v>
      </c>
      <c r="X24" s="7" t="s">
        <v>37</v>
      </c>
      <c r="Y24" s="8" t="s">
        <v>38</v>
      </c>
      <c r="Z24" s="7" t="s">
        <v>48</v>
      </c>
      <c r="AA24" s="8" t="s">
        <v>49</v>
      </c>
      <c r="AB24" s="9">
        <f t="shared" si="0"/>
        <v>0.49319869999999999</v>
      </c>
    </row>
    <row r="25" spans="1:28" x14ac:dyDescent="0.35">
      <c r="A25" s="4">
        <v>5947</v>
      </c>
      <c r="B25" s="5" t="s">
        <v>32</v>
      </c>
      <c r="C25" s="6">
        <v>43615</v>
      </c>
      <c r="D25" s="7">
        <v>191</v>
      </c>
      <c r="E25" s="8" t="s">
        <v>50</v>
      </c>
      <c r="F25" s="7" t="s">
        <v>92</v>
      </c>
      <c r="G25" s="8" t="s">
        <v>93</v>
      </c>
      <c r="H25" s="7" t="str">
        <f>"000029"</f>
        <v>000029</v>
      </c>
      <c r="I25" s="6">
        <v>42898</v>
      </c>
      <c r="J25" s="7" t="str">
        <f>"000036"</f>
        <v>000036</v>
      </c>
      <c r="K25" s="6">
        <v>43069</v>
      </c>
      <c r="L25" s="7" t="str">
        <f>"000036"</f>
        <v>000036</v>
      </c>
      <c r="M25" s="6">
        <v>43069</v>
      </c>
      <c r="N25" s="7">
        <v>17</v>
      </c>
      <c r="O25" s="7" t="str">
        <f>"002240"</f>
        <v>002240</v>
      </c>
      <c r="P25" s="6">
        <v>43613</v>
      </c>
      <c r="Q25" s="9">
        <v>98.933920000000001</v>
      </c>
      <c r="R25" s="9">
        <v>11.343730000000001</v>
      </c>
      <c r="S25" s="9">
        <v>87.590190000000007</v>
      </c>
      <c r="T25" s="7">
        <v>65</v>
      </c>
      <c r="U25" s="6">
        <v>43615</v>
      </c>
      <c r="V25" s="7">
        <v>9999999999</v>
      </c>
      <c r="W25" s="8" t="s">
        <v>39</v>
      </c>
      <c r="X25" s="7" t="s">
        <v>37</v>
      </c>
      <c r="Y25" s="8" t="s">
        <v>38</v>
      </c>
      <c r="Z25" s="7" t="s">
        <v>48</v>
      </c>
      <c r="AA25" s="8" t="s">
        <v>49</v>
      </c>
      <c r="AB25" s="9">
        <f t="shared" si="0"/>
        <v>0.98933919999999997</v>
      </c>
    </row>
    <row r="26" spans="1:28" x14ac:dyDescent="0.35">
      <c r="A26" s="4">
        <v>5948</v>
      </c>
      <c r="B26" s="5" t="s">
        <v>32</v>
      </c>
      <c r="C26" s="6">
        <v>43615</v>
      </c>
      <c r="D26" s="7">
        <v>191</v>
      </c>
      <c r="E26" s="8" t="s">
        <v>50</v>
      </c>
      <c r="F26" s="7" t="s">
        <v>94</v>
      </c>
      <c r="G26" s="8" t="s">
        <v>95</v>
      </c>
      <c r="H26" s="7" t="str">
        <f>"000031"</f>
        <v>000031</v>
      </c>
      <c r="I26" s="6">
        <v>42898</v>
      </c>
      <c r="J26" s="7" t="str">
        <f>"000037"</f>
        <v>000037</v>
      </c>
      <c r="K26" s="6">
        <v>43069</v>
      </c>
      <c r="L26" s="7" t="str">
        <f>"000037"</f>
        <v>000037</v>
      </c>
      <c r="M26" s="6">
        <v>43069</v>
      </c>
      <c r="N26" s="7">
        <v>17</v>
      </c>
      <c r="O26" s="7" t="str">
        <f>"002241"</f>
        <v>002241</v>
      </c>
      <c r="P26" s="6">
        <v>43613</v>
      </c>
      <c r="Q26" s="9">
        <v>24.672689999999999</v>
      </c>
      <c r="R26" s="9">
        <v>2.85615</v>
      </c>
      <c r="S26" s="9">
        <v>21.81654</v>
      </c>
      <c r="T26" s="7">
        <v>65</v>
      </c>
      <c r="U26" s="6">
        <v>43615</v>
      </c>
      <c r="V26" s="7">
        <v>9999999999</v>
      </c>
      <c r="W26" s="8" t="s">
        <v>39</v>
      </c>
      <c r="X26" s="7" t="s">
        <v>37</v>
      </c>
      <c r="Y26" s="8" t="s">
        <v>38</v>
      </c>
      <c r="Z26" s="7" t="s">
        <v>48</v>
      </c>
      <c r="AA26" s="8" t="s">
        <v>49</v>
      </c>
      <c r="AB26" s="9">
        <f t="shared" si="0"/>
        <v>0.2467269</v>
      </c>
    </row>
    <row r="27" spans="1:28" x14ac:dyDescent="0.35">
      <c r="A27" s="4">
        <v>5949</v>
      </c>
      <c r="B27" s="5" t="s">
        <v>32</v>
      </c>
      <c r="C27" s="6">
        <v>43615</v>
      </c>
      <c r="D27" s="7">
        <v>191</v>
      </c>
      <c r="E27" s="8" t="s">
        <v>50</v>
      </c>
      <c r="F27" s="7" t="s">
        <v>96</v>
      </c>
      <c r="G27" s="8" t="s">
        <v>97</v>
      </c>
      <c r="H27" s="7" t="str">
        <f>"000026"</f>
        <v>000026</v>
      </c>
      <c r="I27" s="6">
        <v>42898</v>
      </c>
      <c r="J27" s="7" t="str">
        <f>"000038"</f>
        <v>000038</v>
      </c>
      <c r="K27" s="6">
        <v>43069</v>
      </c>
      <c r="L27" s="7" t="str">
        <f>"000038"</f>
        <v>000038</v>
      </c>
      <c r="M27" s="6">
        <v>43069</v>
      </c>
      <c r="N27" s="7">
        <v>17</v>
      </c>
      <c r="O27" s="7" t="str">
        <f>"002242"</f>
        <v>002242</v>
      </c>
      <c r="P27" s="6">
        <v>43613</v>
      </c>
      <c r="Q27" s="9">
        <v>49.196719999999999</v>
      </c>
      <c r="R27" s="9">
        <v>5.6330099999999996</v>
      </c>
      <c r="S27" s="9">
        <v>43.56371</v>
      </c>
      <c r="T27" s="7">
        <v>65</v>
      </c>
      <c r="U27" s="6">
        <v>43615</v>
      </c>
      <c r="V27" s="7">
        <v>9999999999</v>
      </c>
      <c r="W27" s="8" t="s">
        <v>39</v>
      </c>
      <c r="X27" s="7" t="s">
        <v>37</v>
      </c>
      <c r="Y27" s="8" t="s">
        <v>38</v>
      </c>
      <c r="Z27" s="7" t="s">
        <v>48</v>
      </c>
      <c r="AA27" s="8" t="s">
        <v>49</v>
      </c>
      <c r="AB27" s="9">
        <f t="shared" si="0"/>
        <v>0.49196719999999999</v>
      </c>
    </row>
    <row r="28" spans="1:28" x14ac:dyDescent="0.35">
      <c r="A28" s="4">
        <v>5950</v>
      </c>
      <c r="B28" s="5" t="s">
        <v>32</v>
      </c>
      <c r="C28" s="6">
        <v>43615</v>
      </c>
      <c r="D28" s="7">
        <v>191</v>
      </c>
      <c r="E28" s="8" t="s">
        <v>50</v>
      </c>
      <c r="F28" s="7" t="s">
        <v>98</v>
      </c>
      <c r="G28" s="8" t="s">
        <v>99</v>
      </c>
      <c r="H28" s="7" t="str">
        <f>"000033"</f>
        <v>000033</v>
      </c>
      <c r="I28" s="6">
        <v>42898</v>
      </c>
      <c r="J28" s="7" t="str">
        <f>"000039"</f>
        <v>000039</v>
      </c>
      <c r="K28" s="6">
        <v>43069</v>
      </c>
      <c r="L28" s="7" t="str">
        <f>"000039"</f>
        <v>000039</v>
      </c>
      <c r="M28" s="6">
        <v>43069</v>
      </c>
      <c r="N28" s="7">
        <v>17</v>
      </c>
      <c r="O28" s="7" t="str">
        <f>"002243"</f>
        <v>002243</v>
      </c>
      <c r="P28" s="6">
        <v>43613</v>
      </c>
      <c r="Q28" s="9">
        <v>49.372959999999999</v>
      </c>
      <c r="R28" s="9">
        <v>5.6435000000000004</v>
      </c>
      <c r="S28" s="9">
        <v>43.729460000000003</v>
      </c>
      <c r="T28" s="7">
        <v>65</v>
      </c>
      <c r="U28" s="6">
        <v>43615</v>
      </c>
      <c r="V28" s="7">
        <v>9999999999</v>
      </c>
      <c r="W28" s="8" t="s">
        <v>39</v>
      </c>
      <c r="X28" s="7" t="s">
        <v>37</v>
      </c>
      <c r="Y28" s="8" t="s">
        <v>38</v>
      </c>
      <c r="Z28" s="7" t="s">
        <v>48</v>
      </c>
      <c r="AA28" s="8" t="s">
        <v>49</v>
      </c>
      <c r="AB28" s="9">
        <f t="shared" si="0"/>
        <v>0.49372959999999999</v>
      </c>
    </row>
    <row r="29" spans="1:28" x14ac:dyDescent="0.35">
      <c r="A29" s="4">
        <v>5951</v>
      </c>
      <c r="B29" s="5" t="s">
        <v>29</v>
      </c>
      <c r="C29" s="6">
        <v>43629</v>
      </c>
      <c r="D29" s="7">
        <v>191</v>
      </c>
      <c r="E29" s="8" t="s">
        <v>50</v>
      </c>
      <c r="F29" s="7" t="s">
        <v>100</v>
      </c>
      <c r="G29" s="8" t="s">
        <v>101</v>
      </c>
      <c r="H29" s="7" t="str">
        <f>"000230"</f>
        <v>000230</v>
      </c>
      <c r="I29" s="6">
        <v>42817</v>
      </c>
      <c r="J29" s="7" t="str">
        <f>"000010"</f>
        <v>000010</v>
      </c>
      <c r="K29" s="6">
        <v>43096</v>
      </c>
      <c r="L29" s="7" t="str">
        <f>"000009"</f>
        <v>000009</v>
      </c>
      <c r="M29" s="6">
        <v>43098</v>
      </c>
      <c r="N29" s="7">
        <v>17</v>
      </c>
      <c r="O29" s="7" t="str">
        <f>"002644"</f>
        <v>002644</v>
      </c>
      <c r="P29" s="6">
        <v>43627</v>
      </c>
      <c r="Q29" s="9">
        <v>19.471800000000002</v>
      </c>
      <c r="R29" s="9">
        <v>2.5287999999999999</v>
      </c>
      <c r="S29" s="9">
        <v>16.943000000000001</v>
      </c>
      <c r="T29" s="7">
        <v>79</v>
      </c>
      <c r="U29" s="6">
        <v>43629</v>
      </c>
      <c r="V29" s="7">
        <v>9611140040</v>
      </c>
      <c r="W29" s="8" t="s">
        <v>102</v>
      </c>
      <c r="X29" s="7" t="s">
        <v>30</v>
      </c>
      <c r="Y29" s="8" t="s">
        <v>31</v>
      </c>
      <c r="Z29" s="7" t="s">
        <v>53</v>
      </c>
      <c r="AA29" s="8" t="s">
        <v>54</v>
      </c>
      <c r="AB29" s="9">
        <v>0.19471800000000003</v>
      </c>
    </row>
    <row r="30" spans="1:28" x14ac:dyDescent="0.35">
      <c r="A30" s="4">
        <v>5952</v>
      </c>
      <c r="B30" s="5" t="s">
        <v>29</v>
      </c>
      <c r="C30" s="6">
        <v>43636</v>
      </c>
      <c r="D30" s="7">
        <v>191</v>
      </c>
      <c r="E30" s="8" t="s">
        <v>50</v>
      </c>
      <c r="F30" s="7" t="s">
        <v>103</v>
      </c>
      <c r="G30" s="8" t="s">
        <v>104</v>
      </c>
      <c r="H30" s="7" t="str">
        <f>"000028"</f>
        <v>000028</v>
      </c>
      <c r="I30" s="6">
        <v>42898</v>
      </c>
      <c r="J30" s="7" t="str">
        <f>"000031"</f>
        <v>000031</v>
      </c>
      <c r="K30" s="6">
        <v>43069</v>
      </c>
      <c r="L30" s="7" t="str">
        <f>"000031"</f>
        <v>000031</v>
      </c>
      <c r="M30" s="6">
        <v>43069</v>
      </c>
      <c r="N30" s="7">
        <v>17</v>
      </c>
      <c r="O30" s="7" t="str">
        <f>"002790"</f>
        <v>002790</v>
      </c>
      <c r="P30" s="6">
        <v>43633</v>
      </c>
      <c r="Q30" s="9">
        <v>49.434930000000001</v>
      </c>
      <c r="R30" s="9">
        <v>5.6092599999999999</v>
      </c>
      <c r="S30" s="9">
        <v>43.825670000000002</v>
      </c>
      <c r="T30" s="7">
        <v>89</v>
      </c>
      <c r="U30" s="6">
        <v>43636</v>
      </c>
      <c r="V30" s="7">
        <v>9999999999</v>
      </c>
      <c r="W30" s="8" t="s">
        <v>39</v>
      </c>
      <c r="X30" s="7" t="s">
        <v>37</v>
      </c>
      <c r="Y30" s="8" t="s">
        <v>38</v>
      </c>
      <c r="Z30" s="7" t="s">
        <v>48</v>
      </c>
      <c r="AA30" s="8" t="s">
        <v>49</v>
      </c>
      <c r="AB30" s="9">
        <v>0.49434929999999999</v>
      </c>
    </row>
    <row r="31" spans="1:28" x14ac:dyDescent="0.35">
      <c r="A31" s="4">
        <v>5953</v>
      </c>
      <c r="B31" s="5" t="s">
        <v>105</v>
      </c>
      <c r="C31" s="6">
        <v>43647</v>
      </c>
      <c r="D31" s="7">
        <v>191</v>
      </c>
      <c r="E31" s="8" t="s">
        <v>50</v>
      </c>
      <c r="F31" s="7" t="s">
        <v>106</v>
      </c>
      <c r="G31" s="10" t="s">
        <v>107</v>
      </c>
      <c r="H31" s="7" t="str">
        <f>"000027"</f>
        <v>000027</v>
      </c>
      <c r="I31" s="6">
        <v>42898</v>
      </c>
      <c r="J31" s="7" t="str">
        <f>"000028"</f>
        <v>000028</v>
      </c>
      <c r="K31" s="6">
        <v>43069</v>
      </c>
      <c r="L31" s="7" t="str">
        <f>"000028"</f>
        <v>000028</v>
      </c>
      <c r="M31" s="6">
        <v>43069</v>
      </c>
      <c r="N31" s="7">
        <v>17</v>
      </c>
      <c r="O31" s="7" t="str">
        <f>"003096"</f>
        <v>003096</v>
      </c>
      <c r="P31" s="6">
        <v>43640</v>
      </c>
      <c r="Q31" s="11">
        <v>24.695910000000001</v>
      </c>
      <c r="R31" s="11">
        <v>2.8588200000000001</v>
      </c>
      <c r="S31" s="11">
        <v>21.83709</v>
      </c>
      <c r="T31" s="7">
        <v>96</v>
      </c>
      <c r="U31" s="6">
        <v>43647</v>
      </c>
      <c r="V31" s="7">
        <v>9999999999</v>
      </c>
      <c r="W31" s="10" t="s">
        <v>39</v>
      </c>
      <c r="X31" s="7" t="s">
        <v>37</v>
      </c>
      <c r="Y31" s="10" t="s">
        <v>38</v>
      </c>
      <c r="Z31" s="7" t="s">
        <v>48</v>
      </c>
      <c r="AA31" s="10" t="s">
        <v>49</v>
      </c>
      <c r="AB31" s="11">
        <f t="shared" ref="AB31:AB41" si="1">Q31/100</f>
        <v>0.24695910000000001</v>
      </c>
    </row>
    <row r="32" spans="1:28" x14ac:dyDescent="0.35">
      <c r="A32" s="4">
        <v>5954</v>
      </c>
      <c r="B32" s="5" t="s">
        <v>105</v>
      </c>
      <c r="C32" s="6">
        <v>43654</v>
      </c>
      <c r="D32" s="7">
        <v>191</v>
      </c>
      <c r="E32" s="8" t="s">
        <v>50</v>
      </c>
      <c r="F32" s="7" t="s">
        <v>64</v>
      </c>
      <c r="G32" s="10" t="s">
        <v>65</v>
      </c>
      <c r="H32" s="7" t="str">
        <f>"000017"</f>
        <v>000017</v>
      </c>
      <c r="I32" s="6">
        <v>42934</v>
      </c>
      <c r="J32" s="7" t="str">
        <f>"000042"</f>
        <v>000042</v>
      </c>
      <c r="K32" s="6">
        <v>43741</v>
      </c>
      <c r="L32" s="7" t="str">
        <f>"000041"</f>
        <v>000041</v>
      </c>
      <c r="M32" s="6">
        <v>43741</v>
      </c>
      <c r="N32" s="7">
        <v>16</v>
      </c>
      <c r="O32" s="7" t="str">
        <f>"005789"</f>
        <v>005789</v>
      </c>
      <c r="P32" s="6">
        <v>43755</v>
      </c>
      <c r="Q32" s="11">
        <v>5.91066</v>
      </c>
      <c r="R32" s="11">
        <v>0.79356000000000004</v>
      </c>
      <c r="S32" s="11">
        <v>5.1170999999999998</v>
      </c>
      <c r="T32" s="7">
        <v>109</v>
      </c>
      <c r="U32" s="6">
        <v>43654</v>
      </c>
      <c r="V32" s="7">
        <v>9448522225</v>
      </c>
      <c r="W32" s="10" t="s">
        <v>66</v>
      </c>
      <c r="X32" s="7" t="s">
        <v>34</v>
      </c>
      <c r="Y32" s="10" t="s">
        <v>33</v>
      </c>
      <c r="Z32" s="7" t="s">
        <v>43</v>
      </c>
      <c r="AA32" s="10" t="s">
        <v>44</v>
      </c>
      <c r="AB32" s="11">
        <f t="shared" si="1"/>
        <v>5.9106600000000002E-2</v>
      </c>
    </row>
    <row r="33" spans="1:28" x14ac:dyDescent="0.35">
      <c r="A33" s="4">
        <v>5955</v>
      </c>
      <c r="B33" s="5" t="s">
        <v>105</v>
      </c>
      <c r="C33" s="6">
        <v>43654</v>
      </c>
      <c r="D33" s="7">
        <v>191</v>
      </c>
      <c r="E33" s="8" t="s">
        <v>50</v>
      </c>
      <c r="F33" s="7" t="s">
        <v>69</v>
      </c>
      <c r="G33" s="10" t="s">
        <v>70</v>
      </c>
      <c r="H33" s="7" t="str">
        <f>"000016"</f>
        <v>000016</v>
      </c>
      <c r="I33" s="6">
        <v>42934</v>
      </c>
      <c r="J33" s="7" t="str">
        <f>"000041"</f>
        <v>000041</v>
      </c>
      <c r="K33" s="6">
        <v>43741</v>
      </c>
      <c r="L33" s="7" t="str">
        <f>"000040"</f>
        <v>000040</v>
      </c>
      <c r="M33" s="6">
        <v>43741</v>
      </c>
      <c r="N33" s="7">
        <v>16</v>
      </c>
      <c r="O33" s="7" t="str">
        <f>"005788"</f>
        <v>005788</v>
      </c>
      <c r="P33" s="6">
        <v>43755</v>
      </c>
      <c r="Q33" s="11">
        <v>6.8386800000000001</v>
      </c>
      <c r="R33" s="11">
        <v>0.93996999999999997</v>
      </c>
      <c r="S33" s="11">
        <v>5.8987100000000003</v>
      </c>
      <c r="T33" s="7">
        <v>109</v>
      </c>
      <c r="U33" s="6">
        <v>43654</v>
      </c>
      <c r="V33" s="7">
        <v>9448522225</v>
      </c>
      <c r="W33" s="10" t="s">
        <v>71</v>
      </c>
      <c r="X33" s="7" t="s">
        <v>34</v>
      </c>
      <c r="Y33" s="10" t="s">
        <v>33</v>
      </c>
      <c r="Z33" s="7" t="s">
        <v>43</v>
      </c>
      <c r="AA33" s="10" t="s">
        <v>44</v>
      </c>
      <c r="AB33" s="11">
        <f t="shared" si="1"/>
        <v>6.8386799999999998E-2</v>
      </c>
    </row>
    <row r="34" spans="1:28" x14ac:dyDescent="0.35">
      <c r="A34" s="4">
        <v>5956</v>
      </c>
      <c r="B34" s="5" t="s">
        <v>105</v>
      </c>
      <c r="C34" s="6">
        <v>43670</v>
      </c>
      <c r="D34" s="7">
        <v>191</v>
      </c>
      <c r="E34" s="8" t="s">
        <v>50</v>
      </c>
      <c r="F34" s="7" t="s">
        <v>64</v>
      </c>
      <c r="G34" s="10" t="s">
        <v>65</v>
      </c>
      <c r="H34" s="7" t="str">
        <f>"000017"</f>
        <v>000017</v>
      </c>
      <c r="I34" s="6">
        <v>42934</v>
      </c>
      <c r="J34" s="7" t="str">
        <f>"000042"</f>
        <v>000042</v>
      </c>
      <c r="K34" s="6">
        <v>43741</v>
      </c>
      <c r="L34" s="7" t="str">
        <f>"000041"</f>
        <v>000041</v>
      </c>
      <c r="M34" s="6">
        <v>43741</v>
      </c>
      <c r="N34" s="7">
        <v>16</v>
      </c>
      <c r="O34" s="7" t="str">
        <f>"005789"</f>
        <v>005789</v>
      </c>
      <c r="P34" s="6">
        <v>43755</v>
      </c>
      <c r="Q34" s="11">
        <v>2.7597299999999998</v>
      </c>
      <c r="R34" s="11">
        <v>0.35249000000000003</v>
      </c>
      <c r="S34" s="11">
        <v>2.4072399999999998</v>
      </c>
      <c r="T34" s="7">
        <v>123</v>
      </c>
      <c r="U34" s="6">
        <v>43670</v>
      </c>
      <c r="V34" s="7">
        <v>9448522225</v>
      </c>
      <c r="W34" s="10" t="s">
        <v>66</v>
      </c>
      <c r="X34" s="7" t="s">
        <v>34</v>
      </c>
      <c r="Y34" s="10" t="s">
        <v>33</v>
      </c>
      <c r="Z34" s="7" t="s">
        <v>43</v>
      </c>
      <c r="AA34" s="10" t="s">
        <v>44</v>
      </c>
      <c r="AB34" s="11">
        <f t="shared" si="1"/>
        <v>2.7597299999999998E-2</v>
      </c>
    </row>
    <row r="35" spans="1:28" x14ac:dyDescent="0.35">
      <c r="A35" s="4">
        <v>5957</v>
      </c>
      <c r="B35" s="5" t="s">
        <v>105</v>
      </c>
      <c r="C35" s="6">
        <v>43670</v>
      </c>
      <c r="D35" s="7">
        <v>191</v>
      </c>
      <c r="E35" s="8" t="s">
        <v>50</v>
      </c>
      <c r="F35" s="7" t="s">
        <v>69</v>
      </c>
      <c r="G35" s="10" t="s">
        <v>70</v>
      </c>
      <c r="H35" s="7" t="str">
        <f>"000016"</f>
        <v>000016</v>
      </c>
      <c r="I35" s="6">
        <v>42934</v>
      </c>
      <c r="J35" s="7" t="str">
        <f>"000041"</f>
        <v>000041</v>
      </c>
      <c r="K35" s="6">
        <v>43741</v>
      </c>
      <c r="L35" s="7" t="str">
        <f>"000040"</f>
        <v>000040</v>
      </c>
      <c r="M35" s="6">
        <v>43741</v>
      </c>
      <c r="N35" s="7">
        <v>16</v>
      </c>
      <c r="O35" s="7" t="str">
        <f>"005788"</f>
        <v>005788</v>
      </c>
      <c r="P35" s="6">
        <v>43755</v>
      </c>
      <c r="Q35" s="11">
        <v>3.25047</v>
      </c>
      <c r="R35" s="11">
        <v>0.41105999999999998</v>
      </c>
      <c r="S35" s="11">
        <v>2.83941</v>
      </c>
      <c r="T35" s="7">
        <v>123</v>
      </c>
      <c r="U35" s="6">
        <v>43670</v>
      </c>
      <c r="V35" s="7">
        <v>9448522225</v>
      </c>
      <c r="W35" s="10" t="s">
        <v>71</v>
      </c>
      <c r="X35" s="7" t="s">
        <v>34</v>
      </c>
      <c r="Y35" s="10" t="s">
        <v>33</v>
      </c>
      <c r="Z35" s="7" t="s">
        <v>43</v>
      </c>
      <c r="AA35" s="10" t="s">
        <v>44</v>
      </c>
      <c r="AB35" s="11">
        <f t="shared" si="1"/>
        <v>3.2504699999999997E-2</v>
      </c>
    </row>
    <row r="36" spans="1:28" x14ac:dyDescent="0.35">
      <c r="A36" s="4">
        <v>5958</v>
      </c>
      <c r="B36" s="5" t="s">
        <v>105</v>
      </c>
      <c r="C36" s="6">
        <v>43677</v>
      </c>
      <c r="D36" s="7">
        <v>191</v>
      </c>
      <c r="E36" s="8" t="s">
        <v>50</v>
      </c>
      <c r="F36" s="7" t="s">
        <v>108</v>
      </c>
      <c r="G36" s="10" t="s">
        <v>109</v>
      </c>
      <c r="H36" s="7" t="str">
        <f>"000030"</f>
        <v>000030</v>
      </c>
      <c r="I36" s="6">
        <v>42996</v>
      </c>
      <c r="J36" s="7" t="str">
        <f>"000029"</f>
        <v>000029</v>
      </c>
      <c r="K36" s="6">
        <v>43159</v>
      </c>
      <c r="L36" s="7" t="str">
        <f>"000107"</f>
        <v>000107</v>
      </c>
      <c r="M36" s="6">
        <v>43159</v>
      </c>
      <c r="N36" s="7">
        <v>15</v>
      </c>
      <c r="O36" s="7" t="str">
        <f>"004014"</f>
        <v>004014</v>
      </c>
      <c r="P36" s="6">
        <v>43671</v>
      </c>
      <c r="Q36" s="11">
        <v>49.95</v>
      </c>
      <c r="R36" s="11">
        <v>7.2445000000000004</v>
      </c>
      <c r="S36" s="11">
        <v>42.705500000000001</v>
      </c>
      <c r="T36" s="7">
        <v>135</v>
      </c>
      <c r="U36" s="6">
        <v>43677</v>
      </c>
      <c r="V36" s="7">
        <v>9900007121</v>
      </c>
      <c r="W36" s="10" t="s">
        <v>110</v>
      </c>
      <c r="X36" s="7" t="s">
        <v>37</v>
      </c>
      <c r="Y36" s="10" t="s">
        <v>38</v>
      </c>
      <c r="Z36" s="7" t="s">
        <v>53</v>
      </c>
      <c r="AA36" s="10" t="s">
        <v>54</v>
      </c>
      <c r="AB36" s="11">
        <f t="shared" si="1"/>
        <v>0.49950000000000006</v>
      </c>
    </row>
    <row r="37" spans="1:28" x14ac:dyDescent="0.35">
      <c r="A37" s="4">
        <v>5959</v>
      </c>
      <c r="B37" s="5" t="s">
        <v>111</v>
      </c>
      <c r="C37" s="6">
        <v>43682</v>
      </c>
      <c r="D37" s="7">
        <v>191</v>
      </c>
      <c r="E37" s="8" t="s">
        <v>50</v>
      </c>
      <c r="F37" s="7" t="s">
        <v>112</v>
      </c>
      <c r="G37" s="10" t="s">
        <v>113</v>
      </c>
      <c r="H37" s="7" t="str">
        <f>"000148"</f>
        <v>000148</v>
      </c>
      <c r="I37" s="6">
        <v>43081</v>
      </c>
      <c r="J37" s="7" t="str">
        <f>"000026"</f>
        <v>000026</v>
      </c>
      <c r="K37" s="6">
        <v>43664</v>
      </c>
      <c r="L37" s="7" t="str">
        <f>"000113"</f>
        <v>000113</v>
      </c>
      <c r="M37" s="6">
        <v>43669</v>
      </c>
      <c r="N37" s="7">
        <v>18</v>
      </c>
      <c r="O37" s="7" t="str">
        <f>"004214"</f>
        <v>004214</v>
      </c>
      <c r="P37" s="6">
        <v>43679</v>
      </c>
      <c r="Q37" s="11">
        <v>29.997599999999998</v>
      </c>
      <c r="R37" s="11">
        <v>4.1235600000000003</v>
      </c>
      <c r="S37" s="11">
        <v>25.874040000000001</v>
      </c>
      <c r="T37" s="7">
        <v>143</v>
      </c>
      <c r="U37" s="6">
        <v>43682</v>
      </c>
      <c r="V37" s="7">
        <v>9900294676</v>
      </c>
      <c r="W37" s="10" t="s">
        <v>110</v>
      </c>
      <c r="X37" s="7" t="s">
        <v>35</v>
      </c>
      <c r="Y37" s="10" t="s">
        <v>36</v>
      </c>
      <c r="Z37" s="7" t="s">
        <v>53</v>
      </c>
      <c r="AA37" s="10" t="s">
        <v>54</v>
      </c>
      <c r="AB37" s="11">
        <f t="shared" si="1"/>
        <v>0.29997599999999996</v>
      </c>
    </row>
    <row r="38" spans="1:28" x14ac:dyDescent="0.35">
      <c r="A38" s="4">
        <v>5960</v>
      </c>
      <c r="B38" s="5" t="s">
        <v>111</v>
      </c>
      <c r="C38" s="6">
        <v>43684</v>
      </c>
      <c r="D38" s="7">
        <v>191</v>
      </c>
      <c r="E38" s="8" t="s">
        <v>50</v>
      </c>
      <c r="F38" s="7" t="s">
        <v>114</v>
      </c>
      <c r="G38" s="10" t="s">
        <v>115</v>
      </c>
      <c r="H38" s="7" t="str">
        <f>"000021"</f>
        <v>000021</v>
      </c>
      <c r="I38" s="6">
        <v>42993</v>
      </c>
      <c r="J38" s="7" t="str">
        <f>"000028"</f>
        <v>000028</v>
      </c>
      <c r="K38" s="6">
        <v>43159</v>
      </c>
      <c r="L38" s="7" t="str">
        <f>"000108"</f>
        <v>000108</v>
      </c>
      <c r="M38" s="6">
        <v>43159</v>
      </c>
      <c r="N38" s="7">
        <v>15</v>
      </c>
      <c r="O38" s="7" t="str">
        <f>"004247"</f>
        <v>004247</v>
      </c>
      <c r="P38" s="6">
        <v>43680</v>
      </c>
      <c r="Q38" s="11">
        <v>49.96</v>
      </c>
      <c r="R38" s="11">
        <v>7.2454000000000001</v>
      </c>
      <c r="S38" s="11">
        <v>42.714599999999997</v>
      </c>
      <c r="T38" s="7">
        <v>144</v>
      </c>
      <c r="U38" s="6">
        <v>43684</v>
      </c>
      <c r="V38" s="7">
        <v>9900007121</v>
      </c>
      <c r="W38" s="10" t="s">
        <v>110</v>
      </c>
      <c r="X38" s="7" t="s">
        <v>37</v>
      </c>
      <c r="Y38" s="10" t="s">
        <v>38</v>
      </c>
      <c r="Z38" s="7" t="s">
        <v>53</v>
      </c>
      <c r="AA38" s="10" t="s">
        <v>54</v>
      </c>
      <c r="AB38" s="11">
        <f t="shared" si="1"/>
        <v>0.49959999999999999</v>
      </c>
    </row>
    <row r="39" spans="1:28" x14ac:dyDescent="0.35">
      <c r="A39" s="4">
        <v>5961</v>
      </c>
      <c r="B39" s="5" t="s">
        <v>111</v>
      </c>
      <c r="C39" s="6">
        <v>43697</v>
      </c>
      <c r="D39" s="7">
        <v>191</v>
      </c>
      <c r="E39" s="8" t="s">
        <v>50</v>
      </c>
      <c r="F39" s="7" t="s">
        <v>116</v>
      </c>
      <c r="G39" s="10" t="s">
        <v>117</v>
      </c>
      <c r="H39" s="7" t="str">
        <f>"000029"</f>
        <v>000029</v>
      </c>
      <c r="I39" s="6">
        <v>41246</v>
      </c>
      <c r="J39" s="7" t="str">
        <f>"000152"</f>
        <v>000152</v>
      </c>
      <c r="K39" s="6">
        <v>43521</v>
      </c>
      <c r="L39" s="7" t="str">
        <f>"000152"</f>
        <v>000152</v>
      </c>
      <c r="M39" s="6">
        <v>43521</v>
      </c>
      <c r="N39" s="7">
        <v>11</v>
      </c>
      <c r="O39" s="7" t="str">
        <f>"004577"</f>
        <v>004577</v>
      </c>
      <c r="P39" s="6">
        <v>43694</v>
      </c>
      <c r="Q39" s="11">
        <v>19.805350000000001</v>
      </c>
      <c r="R39" s="11">
        <v>1.0100499999999999</v>
      </c>
      <c r="S39" s="11">
        <v>18.795300000000001</v>
      </c>
      <c r="T39" s="7">
        <v>160</v>
      </c>
      <c r="U39" s="6">
        <v>43697</v>
      </c>
      <c r="V39" s="7">
        <v>9686660565</v>
      </c>
      <c r="W39" s="10" t="s">
        <v>118</v>
      </c>
      <c r="X39" s="7" t="s">
        <v>119</v>
      </c>
      <c r="Y39" s="10" t="s">
        <v>120</v>
      </c>
      <c r="Z39" s="7" t="s">
        <v>121</v>
      </c>
      <c r="AA39" s="10" t="s">
        <v>122</v>
      </c>
      <c r="AB39" s="11">
        <f t="shared" si="1"/>
        <v>0.19805349999999999</v>
      </c>
    </row>
    <row r="40" spans="1:28" x14ac:dyDescent="0.35">
      <c r="A40" s="4">
        <v>5962</v>
      </c>
      <c r="B40" s="5" t="s">
        <v>111</v>
      </c>
      <c r="C40" s="6">
        <v>43704</v>
      </c>
      <c r="D40" s="7">
        <v>191</v>
      </c>
      <c r="E40" s="8" t="s">
        <v>50</v>
      </c>
      <c r="F40" s="7" t="s">
        <v>123</v>
      </c>
      <c r="G40" s="10" t="s">
        <v>124</v>
      </c>
      <c r="H40" s="7" t="str">
        <f>"000015"</f>
        <v>000015</v>
      </c>
      <c r="I40" s="6">
        <v>42993</v>
      </c>
      <c r="J40" s="7" t="str">
        <f>"000039"</f>
        <v>000039</v>
      </c>
      <c r="K40" s="6">
        <v>43185</v>
      </c>
      <c r="L40" s="7" t="str">
        <f>"000193"</f>
        <v>000193</v>
      </c>
      <c r="M40" s="6">
        <v>43190</v>
      </c>
      <c r="N40" s="7">
        <v>15</v>
      </c>
      <c r="O40" s="7" t="str">
        <f>"004556"</f>
        <v>004556</v>
      </c>
      <c r="P40" s="6">
        <v>43693</v>
      </c>
      <c r="Q40" s="11">
        <v>19.952999999999999</v>
      </c>
      <c r="R40" s="11">
        <v>2.8660000000000001</v>
      </c>
      <c r="S40" s="11">
        <v>17.087</v>
      </c>
      <c r="T40" s="7">
        <v>166</v>
      </c>
      <c r="U40" s="6">
        <v>43704</v>
      </c>
      <c r="V40" s="7">
        <v>9900007121</v>
      </c>
      <c r="W40" s="10" t="s">
        <v>110</v>
      </c>
      <c r="X40" s="7" t="s">
        <v>37</v>
      </c>
      <c r="Y40" s="10" t="s">
        <v>38</v>
      </c>
      <c r="Z40" s="7" t="s">
        <v>53</v>
      </c>
      <c r="AA40" s="10" t="s">
        <v>54</v>
      </c>
      <c r="AB40" s="11">
        <f t="shared" si="1"/>
        <v>0.19952999999999999</v>
      </c>
    </row>
    <row r="41" spans="1:28" x14ac:dyDescent="0.35">
      <c r="A41" s="4">
        <v>5963</v>
      </c>
      <c r="B41" s="5" t="s">
        <v>111</v>
      </c>
      <c r="C41" s="6">
        <v>43704</v>
      </c>
      <c r="D41" s="7">
        <v>191</v>
      </c>
      <c r="E41" s="8" t="s">
        <v>50</v>
      </c>
      <c r="F41" s="7" t="s">
        <v>125</v>
      </c>
      <c r="G41" s="10" t="s">
        <v>126</v>
      </c>
      <c r="H41" s="7" t="str">
        <f>"000025"</f>
        <v>000025</v>
      </c>
      <c r="I41" s="6">
        <v>42993</v>
      </c>
      <c r="J41" s="7" t="str">
        <f>"000047"</f>
        <v>000047</v>
      </c>
      <c r="K41" s="6">
        <v>43190</v>
      </c>
      <c r="L41" s="7" t="str">
        <f>"000198"</f>
        <v>000198</v>
      </c>
      <c r="M41" s="6">
        <v>43190</v>
      </c>
      <c r="N41" s="7">
        <v>15</v>
      </c>
      <c r="O41" s="7" t="str">
        <f>"004557"</f>
        <v>004557</v>
      </c>
      <c r="P41" s="6">
        <v>43693</v>
      </c>
      <c r="Q41" s="11">
        <v>19.975999999999999</v>
      </c>
      <c r="R41" s="11">
        <v>2.8978000000000002</v>
      </c>
      <c r="S41" s="11">
        <v>17.078199999999999</v>
      </c>
      <c r="T41" s="7">
        <v>166</v>
      </c>
      <c r="U41" s="6">
        <v>43704</v>
      </c>
      <c r="V41" s="7">
        <v>9900007121</v>
      </c>
      <c r="W41" s="10" t="s">
        <v>110</v>
      </c>
      <c r="X41" s="7" t="s">
        <v>37</v>
      </c>
      <c r="Y41" s="10" t="s">
        <v>38</v>
      </c>
      <c r="Z41" s="7" t="s">
        <v>53</v>
      </c>
      <c r="AA41" s="10" t="s">
        <v>54</v>
      </c>
      <c r="AB41" s="11">
        <f t="shared" si="1"/>
        <v>0.19975999999999999</v>
      </c>
    </row>
    <row r="42" spans="1:28" x14ac:dyDescent="0.35">
      <c r="A42" s="4">
        <v>5964</v>
      </c>
      <c r="B42" s="5" t="s">
        <v>127</v>
      </c>
      <c r="C42" s="6">
        <v>43754</v>
      </c>
      <c r="D42" s="4">
        <v>191</v>
      </c>
      <c r="E42" s="8" t="s">
        <v>50</v>
      </c>
      <c r="F42" s="7" t="s">
        <v>128</v>
      </c>
      <c r="G42" s="8" t="s">
        <v>129</v>
      </c>
      <c r="H42" s="7" t="str">
        <f>"000013"</f>
        <v>000013</v>
      </c>
      <c r="I42" s="6">
        <v>42993</v>
      </c>
      <c r="J42" s="7" t="str">
        <f>"000025"</f>
        <v>000025</v>
      </c>
      <c r="K42" s="6">
        <v>43650</v>
      </c>
      <c r="L42" s="7" t="str">
        <f>"000024"</f>
        <v>000024</v>
      </c>
      <c r="M42" s="6">
        <v>43650</v>
      </c>
      <c r="N42" s="7">
        <v>17</v>
      </c>
      <c r="O42" s="7" t="str">
        <f>"005765"</f>
        <v>005765</v>
      </c>
      <c r="P42" s="6">
        <v>43753</v>
      </c>
      <c r="Q42" s="9">
        <v>24.808689999999999</v>
      </c>
      <c r="R42" s="9">
        <v>3.1159500000000002</v>
      </c>
      <c r="S42" s="9">
        <v>21.692740000000001</v>
      </c>
      <c r="T42" s="7">
        <v>13</v>
      </c>
      <c r="U42" s="6">
        <v>43754</v>
      </c>
      <c r="V42" s="7">
        <v>9900007121</v>
      </c>
      <c r="W42" s="8" t="s">
        <v>110</v>
      </c>
      <c r="X42" s="7" t="s">
        <v>41</v>
      </c>
      <c r="Y42" s="8" t="s">
        <v>42</v>
      </c>
      <c r="Z42" s="7" t="s">
        <v>43</v>
      </c>
      <c r="AA42" s="8" t="s">
        <v>44</v>
      </c>
      <c r="AB42" s="9">
        <v>0.2480869</v>
      </c>
    </row>
    <row r="43" spans="1:28" x14ac:dyDescent="0.35">
      <c r="A43" s="4">
        <v>5965</v>
      </c>
      <c r="B43" s="5" t="s">
        <v>127</v>
      </c>
      <c r="C43" s="6">
        <v>43757</v>
      </c>
      <c r="D43" s="4">
        <v>191</v>
      </c>
      <c r="E43" s="8" t="s">
        <v>50</v>
      </c>
      <c r="F43" s="7" t="s">
        <v>130</v>
      </c>
      <c r="G43" s="8" t="s">
        <v>131</v>
      </c>
      <c r="H43" s="7" t="str">
        <f>"000259"</f>
        <v>000259</v>
      </c>
      <c r="I43" s="6">
        <v>42825</v>
      </c>
      <c r="J43" s="7" t="str">
        <f>"000010"</f>
        <v>000010</v>
      </c>
      <c r="K43" s="6">
        <v>43213</v>
      </c>
      <c r="L43" s="7" t="str">
        <f>"000039"</f>
        <v>000039</v>
      </c>
      <c r="M43" s="6">
        <v>43220</v>
      </c>
      <c r="N43" s="7">
        <v>17</v>
      </c>
      <c r="O43" s="7" t="str">
        <f>"005598"</f>
        <v>005598</v>
      </c>
      <c r="P43" s="6">
        <v>43739</v>
      </c>
      <c r="Q43" s="9">
        <v>14.297000000000001</v>
      </c>
      <c r="R43" s="9">
        <v>1.6425000000000001</v>
      </c>
      <c r="S43" s="9">
        <v>12.654500000000001</v>
      </c>
      <c r="T43" s="7">
        <v>13</v>
      </c>
      <c r="U43" s="6">
        <v>43757</v>
      </c>
      <c r="V43" s="7">
        <v>9972188889</v>
      </c>
      <c r="W43" s="8" t="s">
        <v>132</v>
      </c>
      <c r="X43" s="7" t="s">
        <v>30</v>
      </c>
      <c r="Y43" s="8" t="s">
        <v>31</v>
      </c>
      <c r="Z43" s="7" t="s">
        <v>53</v>
      </c>
      <c r="AA43" s="8" t="s">
        <v>54</v>
      </c>
      <c r="AB43" s="9">
        <v>0.14297000000000001</v>
      </c>
    </row>
    <row r="44" spans="1:28" x14ac:dyDescent="0.35">
      <c r="A44" s="4">
        <v>5966</v>
      </c>
      <c r="B44" s="5" t="s">
        <v>127</v>
      </c>
      <c r="C44" s="6">
        <v>43757</v>
      </c>
      <c r="D44" s="4">
        <v>191</v>
      </c>
      <c r="E44" s="8" t="s">
        <v>50</v>
      </c>
      <c r="F44" s="7" t="s">
        <v>133</v>
      </c>
      <c r="G44" s="8" t="s">
        <v>134</v>
      </c>
      <c r="H44" s="7" t="str">
        <f>"000257"</f>
        <v>000257</v>
      </c>
      <c r="I44" s="6">
        <v>42825</v>
      </c>
      <c r="J44" s="7" t="str">
        <f>"000011"</f>
        <v>000011</v>
      </c>
      <c r="K44" s="6">
        <v>43213</v>
      </c>
      <c r="L44" s="7" t="str">
        <f>"000040"</f>
        <v>000040</v>
      </c>
      <c r="M44" s="6">
        <v>43220</v>
      </c>
      <c r="N44" s="7">
        <v>17</v>
      </c>
      <c r="O44" s="7" t="str">
        <f>"005599"</f>
        <v>005599</v>
      </c>
      <c r="P44" s="6">
        <v>43739</v>
      </c>
      <c r="Q44" s="9">
        <v>18.446999999999999</v>
      </c>
      <c r="R44" s="9">
        <v>2.1720999999999999</v>
      </c>
      <c r="S44" s="9">
        <v>16.274899999999999</v>
      </c>
      <c r="T44" s="7">
        <v>13</v>
      </c>
      <c r="U44" s="6">
        <v>43757</v>
      </c>
      <c r="V44" s="7">
        <v>9972188889</v>
      </c>
      <c r="W44" s="8" t="s">
        <v>132</v>
      </c>
      <c r="X44" s="7" t="s">
        <v>30</v>
      </c>
      <c r="Y44" s="8" t="s">
        <v>31</v>
      </c>
      <c r="Z44" s="7" t="s">
        <v>53</v>
      </c>
      <c r="AA44" s="8" t="s">
        <v>54</v>
      </c>
      <c r="AB44" s="9">
        <v>0.18447</v>
      </c>
    </row>
    <row r="45" spans="1:28" x14ac:dyDescent="0.35">
      <c r="A45" s="4">
        <v>5967</v>
      </c>
      <c r="B45" s="5" t="s">
        <v>127</v>
      </c>
      <c r="C45" s="6">
        <v>43757</v>
      </c>
      <c r="D45" s="4">
        <v>191</v>
      </c>
      <c r="E45" s="8" t="s">
        <v>50</v>
      </c>
      <c r="F45" s="7" t="s">
        <v>135</v>
      </c>
      <c r="G45" s="8" t="s">
        <v>136</v>
      </c>
      <c r="H45" s="7" t="str">
        <f>"000258"</f>
        <v>000258</v>
      </c>
      <c r="I45" s="6">
        <v>42825</v>
      </c>
      <c r="J45" s="7" t="str">
        <f>"000008"</f>
        <v>000008</v>
      </c>
      <c r="K45" s="6">
        <v>43213</v>
      </c>
      <c r="L45" s="7" t="str">
        <f>"000041"</f>
        <v>000041</v>
      </c>
      <c r="M45" s="6">
        <v>43220</v>
      </c>
      <c r="N45" s="7">
        <v>17</v>
      </c>
      <c r="O45" s="7" t="str">
        <f>"005600"</f>
        <v>005600</v>
      </c>
      <c r="P45" s="6">
        <v>43739</v>
      </c>
      <c r="Q45" s="9">
        <v>19.09545</v>
      </c>
      <c r="R45" s="9">
        <v>2.2120000000000002</v>
      </c>
      <c r="S45" s="9">
        <v>16.88345</v>
      </c>
      <c r="T45" s="7">
        <v>13</v>
      </c>
      <c r="U45" s="6">
        <v>43757</v>
      </c>
      <c r="V45" s="7">
        <v>9972188889</v>
      </c>
      <c r="W45" s="8" t="s">
        <v>132</v>
      </c>
      <c r="X45" s="7" t="s">
        <v>30</v>
      </c>
      <c r="Y45" s="8" t="s">
        <v>31</v>
      </c>
      <c r="Z45" s="7" t="s">
        <v>53</v>
      </c>
      <c r="AA45" s="8" t="s">
        <v>54</v>
      </c>
      <c r="AB45" s="9">
        <v>0.1909545</v>
      </c>
    </row>
    <row r="46" spans="1:28" x14ac:dyDescent="0.35">
      <c r="A46" s="4">
        <v>5968</v>
      </c>
      <c r="B46" s="5" t="s">
        <v>127</v>
      </c>
      <c r="C46" s="6">
        <v>43757</v>
      </c>
      <c r="D46" s="4">
        <v>191</v>
      </c>
      <c r="E46" s="8" t="s">
        <v>50</v>
      </c>
      <c r="F46" s="7" t="s">
        <v>137</v>
      </c>
      <c r="G46" s="8" t="s">
        <v>138</v>
      </c>
      <c r="H46" s="7" t="str">
        <f>"000256"</f>
        <v>000256</v>
      </c>
      <c r="I46" s="6">
        <v>42825</v>
      </c>
      <c r="J46" s="7" t="str">
        <f>"000009"</f>
        <v>000009</v>
      </c>
      <c r="K46" s="6">
        <v>43213</v>
      </c>
      <c r="L46" s="7" t="str">
        <f>"000042"</f>
        <v>000042</v>
      </c>
      <c r="M46" s="6">
        <v>43220</v>
      </c>
      <c r="N46" s="7">
        <v>17</v>
      </c>
      <c r="O46" s="7" t="str">
        <f>"005601"</f>
        <v>005601</v>
      </c>
      <c r="P46" s="6">
        <v>43739</v>
      </c>
      <c r="Q46" s="9">
        <v>9.4350000000000005</v>
      </c>
      <c r="R46" s="9">
        <v>0.98050000000000004</v>
      </c>
      <c r="S46" s="9">
        <v>8.4544999999999995</v>
      </c>
      <c r="T46" s="7">
        <v>13</v>
      </c>
      <c r="U46" s="6">
        <v>43757</v>
      </c>
      <c r="V46" s="7">
        <v>9972188889</v>
      </c>
      <c r="W46" s="8" t="s">
        <v>132</v>
      </c>
      <c r="X46" s="7" t="s">
        <v>30</v>
      </c>
      <c r="Y46" s="8" t="s">
        <v>31</v>
      </c>
      <c r="Z46" s="7" t="s">
        <v>53</v>
      </c>
      <c r="AA46" s="8" t="s">
        <v>54</v>
      </c>
      <c r="AB46" s="9">
        <v>9.4350000000000003E-2</v>
      </c>
    </row>
    <row r="47" spans="1:28" x14ac:dyDescent="0.35">
      <c r="A47" s="4">
        <v>5969</v>
      </c>
      <c r="B47" s="5" t="s">
        <v>127</v>
      </c>
      <c r="C47" s="6">
        <v>43757</v>
      </c>
      <c r="D47" s="4">
        <v>191</v>
      </c>
      <c r="E47" s="8" t="s">
        <v>50</v>
      </c>
      <c r="F47" s="7" t="s">
        <v>69</v>
      </c>
      <c r="G47" s="8" t="s">
        <v>70</v>
      </c>
      <c r="H47" s="7" t="str">
        <f>"000016"</f>
        <v>000016</v>
      </c>
      <c r="I47" s="6">
        <v>42934</v>
      </c>
      <c r="J47" s="7" t="str">
        <f>"000050"</f>
        <v>000050</v>
      </c>
      <c r="K47" s="6">
        <v>43808</v>
      </c>
      <c r="L47" s="7" t="str">
        <f>"000048"</f>
        <v>000048</v>
      </c>
      <c r="M47" s="6">
        <v>43808</v>
      </c>
      <c r="N47" s="7">
        <v>16</v>
      </c>
      <c r="O47" s="7" t="str">
        <f>"006835"</f>
        <v>006835</v>
      </c>
      <c r="P47" s="6">
        <v>43815</v>
      </c>
      <c r="Q47" s="9">
        <v>3.25047</v>
      </c>
      <c r="R47" s="9">
        <v>0.41704999999999998</v>
      </c>
      <c r="S47" s="9">
        <v>2.8334199999999998</v>
      </c>
      <c r="T47" s="7">
        <v>13</v>
      </c>
      <c r="U47" s="6">
        <v>43757</v>
      </c>
      <c r="V47" s="7">
        <v>9448522225</v>
      </c>
      <c r="W47" s="8" t="s">
        <v>71</v>
      </c>
      <c r="X47" s="7" t="s">
        <v>34</v>
      </c>
      <c r="Y47" s="8" t="s">
        <v>33</v>
      </c>
      <c r="Z47" s="7" t="s">
        <v>43</v>
      </c>
      <c r="AA47" s="8" t="s">
        <v>44</v>
      </c>
      <c r="AB47" s="9">
        <v>3.2504699999999997E-2</v>
      </c>
    </row>
    <row r="48" spans="1:28" x14ac:dyDescent="0.35">
      <c r="A48" s="4">
        <v>5970</v>
      </c>
      <c r="B48" s="5" t="s">
        <v>127</v>
      </c>
      <c r="C48" s="6">
        <v>43757</v>
      </c>
      <c r="D48" s="4">
        <v>191</v>
      </c>
      <c r="E48" s="8" t="s">
        <v>50</v>
      </c>
      <c r="F48" s="7" t="s">
        <v>64</v>
      </c>
      <c r="G48" s="8" t="s">
        <v>65</v>
      </c>
      <c r="H48" s="7" t="str">
        <f>"000017"</f>
        <v>000017</v>
      </c>
      <c r="I48" s="6">
        <v>42934</v>
      </c>
      <c r="J48" s="7" t="str">
        <f>"000051"</f>
        <v>000051</v>
      </c>
      <c r="K48" s="6">
        <v>43808</v>
      </c>
      <c r="L48" s="7" t="str">
        <f>"000049"</f>
        <v>000049</v>
      </c>
      <c r="M48" s="6">
        <v>43808</v>
      </c>
      <c r="N48" s="7">
        <v>16</v>
      </c>
      <c r="O48" s="7" t="str">
        <f>"006837"</f>
        <v>006837</v>
      </c>
      <c r="P48" s="6">
        <v>43815</v>
      </c>
      <c r="Q48" s="9">
        <v>2.7597299999999998</v>
      </c>
      <c r="R48" s="9">
        <v>0.36148999999999998</v>
      </c>
      <c r="S48" s="9">
        <v>2.3982399999999999</v>
      </c>
      <c r="T48" s="7">
        <v>13</v>
      </c>
      <c r="U48" s="6">
        <v>43757</v>
      </c>
      <c r="V48" s="7">
        <v>9448522225</v>
      </c>
      <c r="W48" s="8" t="s">
        <v>66</v>
      </c>
      <c r="X48" s="7" t="s">
        <v>34</v>
      </c>
      <c r="Y48" s="8" t="s">
        <v>33</v>
      </c>
      <c r="Z48" s="7" t="s">
        <v>43</v>
      </c>
      <c r="AA48" s="8" t="s">
        <v>44</v>
      </c>
      <c r="AB48" s="9">
        <v>2.7597299999999998E-2</v>
      </c>
    </row>
    <row r="49" spans="1:28" x14ac:dyDescent="0.35">
      <c r="A49" s="4">
        <v>5971</v>
      </c>
      <c r="B49" s="5" t="s">
        <v>127</v>
      </c>
      <c r="C49" s="6">
        <v>43757</v>
      </c>
      <c r="D49" s="4">
        <v>191</v>
      </c>
      <c r="E49" s="8" t="s">
        <v>50</v>
      </c>
      <c r="F49" s="7" t="s">
        <v>139</v>
      </c>
      <c r="G49" s="8" t="s">
        <v>140</v>
      </c>
      <c r="H49" s="7" t="str">
        <f>"000495"</f>
        <v>000495</v>
      </c>
      <c r="I49" s="6">
        <v>43180</v>
      </c>
      <c r="J49" s="7" t="str">
        <f>"000049"</f>
        <v>000049</v>
      </c>
      <c r="K49" s="6">
        <v>43337</v>
      </c>
      <c r="L49" s="7" t="str">
        <f>"000215"</f>
        <v>000215</v>
      </c>
      <c r="M49" s="6">
        <v>43343</v>
      </c>
      <c r="N49" s="7">
        <v>18</v>
      </c>
      <c r="O49" s="7" t="str">
        <f>"005795"</f>
        <v>005795</v>
      </c>
      <c r="P49" s="6">
        <v>43755</v>
      </c>
      <c r="Q49" s="9">
        <v>7.8090000000000002</v>
      </c>
      <c r="R49" s="9">
        <v>0.75929999999999997</v>
      </c>
      <c r="S49" s="9">
        <v>7.0496999999999996</v>
      </c>
      <c r="T49" s="7">
        <v>13</v>
      </c>
      <c r="U49" s="6">
        <v>43757</v>
      </c>
      <c r="V49" s="7">
        <v>9036718749</v>
      </c>
      <c r="W49" s="8" t="s">
        <v>141</v>
      </c>
      <c r="X49" s="7" t="s">
        <v>30</v>
      </c>
      <c r="Y49" s="8" t="s">
        <v>31</v>
      </c>
      <c r="Z49" s="7" t="s">
        <v>53</v>
      </c>
      <c r="AA49" s="8" t="s">
        <v>54</v>
      </c>
      <c r="AB49" s="9">
        <v>7.8090000000000007E-2</v>
      </c>
    </row>
    <row r="50" spans="1:28" x14ac:dyDescent="0.35">
      <c r="A50" s="4">
        <v>5972</v>
      </c>
      <c r="B50" s="5" t="s">
        <v>142</v>
      </c>
      <c r="C50" s="6">
        <v>43777</v>
      </c>
      <c r="D50" s="4">
        <v>191</v>
      </c>
      <c r="E50" s="8" t="s">
        <v>50</v>
      </c>
      <c r="F50" s="7" t="s">
        <v>143</v>
      </c>
      <c r="G50" s="8" t="s">
        <v>144</v>
      </c>
      <c r="H50" s="7" t="str">
        <f>"000134"</f>
        <v>000134</v>
      </c>
      <c r="I50" s="6">
        <v>43081</v>
      </c>
      <c r="J50" s="7" t="str">
        <f>"000067"</f>
        <v>000067</v>
      </c>
      <c r="K50" s="6">
        <v>43358</v>
      </c>
      <c r="L50" s="7" t="str">
        <f>"000238"</f>
        <v>000238</v>
      </c>
      <c r="M50" s="6">
        <v>43368</v>
      </c>
      <c r="N50" s="7">
        <v>16</v>
      </c>
      <c r="O50" s="7" t="str">
        <f>"006103"</f>
        <v>006103</v>
      </c>
      <c r="P50" s="6">
        <v>43775</v>
      </c>
      <c r="Q50" s="9">
        <v>10.281000000000001</v>
      </c>
      <c r="R50" s="9">
        <v>1.0889500000000001</v>
      </c>
      <c r="S50" s="9">
        <v>9.1920500000000001</v>
      </c>
      <c r="T50" s="7">
        <v>13</v>
      </c>
      <c r="U50" s="6">
        <v>43777</v>
      </c>
      <c r="V50" s="7">
        <v>9886660709</v>
      </c>
      <c r="W50" s="8" t="s">
        <v>145</v>
      </c>
      <c r="X50" s="7" t="s">
        <v>30</v>
      </c>
      <c r="Y50" s="8" t="s">
        <v>31</v>
      </c>
      <c r="Z50" s="7" t="s">
        <v>53</v>
      </c>
      <c r="AA50" s="8" t="s">
        <v>54</v>
      </c>
      <c r="AB50" s="9">
        <v>0.10281000000000001</v>
      </c>
    </row>
    <row r="51" spans="1:28" x14ac:dyDescent="0.35">
      <c r="A51" s="4">
        <v>5973</v>
      </c>
      <c r="B51" s="5" t="s">
        <v>142</v>
      </c>
      <c r="C51" s="6">
        <v>43777</v>
      </c>
      <c r="D51" s="4">
        <v>191</v>
      </c>
      <c r="E51" s="8" t="s">
        <v>50</v>
      </c>
      <c r="F51" s="7" t="s">
        <v>146</v>
      </c>
      <c r="G51" s="8" t="s">
        <v>147</v>
      </c>
      <c r="H51" s="7" t="str">
        <f>"000133"</f>
        <v>000133</v>
      </c>
      <c r="I51" s="6">
        <v>43081</v>
      </c>
      <c r="J51" s="7" t="str">
        <f>"000066"</f>
        <v>000066</v>
      </c>
      <c r="K51" s="6">
        <v>43358</v>
      </c>
      <c r="L51" s="7" t="str">
        <f>"000239"</f>
        <v>000239</v>
      </c>
      <c r="M51" s="6">
        <v>43368</v>
      </c>
      <c r="N51" s="7">
        <v>16</v>
      </c>
      <c r="O51" s="7" t="str">
        <f>"006104"</f>
        <v>006104</v>
      </c>
      <c r="P51" s="6">
        <v>43775</v>
      </c>
      <c r="Q51" s="9">
        <v>10.272</v>
      </c>
      <c r="R51" s="9">
        <v>1.08775</v>
      </c>
      <c r="S51" s="9">
        <v>9.1842500000000005</v>
      </c>
      <c r="T51" s="7">
        <v>13</v>
      </c>
      <c r="U51" s="6">
        <v>43777</v>
      </c>
      <c r="V51" s="7">
        <v>9886660709</v>
      </c>
      <c r="W51" s="8" t="s">
        <v>148</v>
      </c>
      <c r="X51" s="7" t="s">
        <v>30</v>
      </c>
      <c r="Y51" s="8" t="s">
        <v>31</v>
      </c>
      <c r="Z51" s="7" t="s">
        <v>53</v>
      </c>
      <c r="AA51" s="8" t="s">
        <v>54</v>
      </c>
      <c r="AB51" s="9">
        <v>0.10272000000000001</v>
      </c>
    </row>
    <row r="52" spans="1:28" x14ac:dyDescent="0.35">
      <c r="A52" s="4">
        <v>5974</v>
      </c>
      <c r="B52" s="5" t="s">
        <v>142</v>
      </c>
      <c r="C52" s="6">
        <v>43788</v>
      </c>
      <c r="D52" s="4">
        <v>191</v>
      </c>
      <c r="E52" s="8" t="s">
        <v>50</v>
      </c>
      <c r="F52" s="7" t="s">
        <v>149</v>
      </c>
      <c r="G52" s="8" t="s">
        <v>150</v>
      </c>
      <c r="H52" s="7" t="str">
        <f>"000234"</f>
        <v>000234</v>
      </c>
      <c r="I52" s="6">
        <v>43131</v>
      </c>
      <c r="J52" s="7" t="str">
        <f>"000053"</f>
        <v>000053</v>
      </c>
      <c r="K52" s="6">
        <v>43190</v>
      </c>
      <c r="L52" s="7" t="str">
        <f>"000204"</f>
        <v>000204</v>
      </c>
      <c r="M52" s="6">
        <v>43190</v>
      </c>
      <c r="N52" s="7">
        <v>17</v>
      </c>
      <c r="O52" s="7" t="str">
        <f>"006175"</f>
        <v>006175</v>
      </c>
      <c r="P52" s="6">
        <v>43781</v>
      </c>
      <c r="Q52" s="9">
        <v>43.5</v>
      </c>
      <c r="R52" s="9">
        <v>5.4487800000000002</v>
      </c>
      <c r="S52" s="9">
        <v>38.051220000000001</v>
      </c>
      <c r="T52" s="7">
        <v>13</v>
      </c>
      <c r="U52" s="6">
        <v>43788</v>
      </c>
      <c r="V52" s="7">
        <v>9845154892</v>
      </c>
      <c r="W52" s="8" t="s">
        <v>151</v>
      </c>
      <c r="X52" s="7" t="s">
        <v>152</v>
      </c>
      <c r="Y52" s="8" t="s">
        <v>153</v>
      </c>
      <c r="Z52" s="7" t="s">
        <v>53</v>
      </c>
      <c r="AA52" s="8" t="s">
        <v>54</v>
      </c>
      <c r="AB52" s="9">
        <v>0.435</v>
      </c>
    </row>
    <row r="53" spans="1:28" x14ac:dyDescent="0.35">
      <c r="A53" s="4">
        <v>5975</v>
      </c>
      <c r="B53" s="5" t="s">
        <v>142</v>
      </c>
      <c r="C53" s="6">
        <v>43788</v>
      </c>
      <c r="D53" s="4">
        <v>191</v>
      </c>
      <c r="E53" s="8" t="s">
        <v>50</v>
      </c>
      <c r="F53" s="7" t="s">
        <v>154</v>
      </c>
      <c r="G53" s="8" t="s">
        <v>155</v>
      </c>
      <c r="H53" s="7" t="str">
        <f>"000233"</f>
        <v>000233</v>
      </c>
      <c r="I53" s="6">
        <v>43131</v>
      </c>
      <c r="J53" s="7" t="str">
        <f>"000056"</f>
        <v>000056</v>
      </c>
      <c r="K53" s="6">
        <v>43190</v>
      </c>
      <c r="L53" s="7" t="str">
        <f>"000205"</f>
        <v>000205</v>
      </c>
      <c r="M53" s="6">
        <v>43190</v>
      </c>
      <c r="N53" s="7">
        <v>17</v>
      </c>
      <c r="O53" s="7" t="str">
        <f>"006176"</f>
        <v>006176</v>
      </c>
      <c r="P53" s="6">
        <v>43781</v>
      </c>
      <c r="Q53" s="9">
        <v>44.93</v>
      </c>
      <c r="R53" s="9">
        <v>5.6133199999999999</v>
      </c>
      <c r="S53" s="9">
        <v>39.316679999999998</v>
      </c>
      <c r="T53" s="7">
        <v>13</v>
      </c>
      <c r="U53" s="6">
        <v>43788</v>
      </c>
      <c r="V53" s="7">
        <v>9845145492</v>
      </c>
      <c r="W53" s="8" t="s">
        <v>151</v>
      </c>
      <c r="X53" s="7" t="s">
        <v>152</v>
      </c>
      <c r="Y53" s="8" t="s">
        <v>153</v>
      </c>
      <c r="Z53" s="7" t="s">
        <v>53</v>
      </c>
      <c r="AA53" s="8" t="s">
        <v>54</v>
      </c>
      <c r="AB53" s="9">
        <v>0.44929999999999998</v>
      </c>
    </row>
    <row r="54" spans="1:28" x14ac:dyDescent="0.35">
      <c r="A54" s="4">
        <v>5976</v>
      </c>
      <c r="B54" s="5" t="s">
        <v>142</v>
      </c>
      <c r="C54" s="6">
        <v>43788</v>
      </c>
      <c r="D54" s="4">
        <v>191</v>
      </c>
      <c r="E54" s="8" t="s">
        <v>50</v>
      </c>
      <c r="F54" s="7" t="s">
        <v>156</v>
      </c>
      <c r="G54" s="8" t="s">
        <v>157</v>
      </c>
      <c r="H54" s="7" t="str">
        <f>"000235"</f>
        <v>000235</v>
      </c>
      <c r="I54" s="6">
        <v>43131</v>
      </c>
      <c r="J54" s="7" t="str">
        <f>"000054"</f>
        <v>000054</v>
      </c>
      <c r="K54" s="6">
        <v>43190</v>
      </c>
      <c r="L54" s="7" t="str">
        <f>"000206"</f>
        <v>000206</v>
      </c>
      <c r="M54" s="6">
        <v>43190</v>
      </c>
      <c r="N54" s="7">
        <v>17</v>
      </c>
      <c r="O54" s="7" t="str">
        <f>"006177"</f>
        <v>006177</v>
      </c>
      <c r="P54" s="6">
        <v>43781</v>
      </c>
      <c r="Q54" s="9">
        <v>44.17</v>
      </c>
      <c r="R54" s="9">
        <v>5.4848600000000003</v>
      </c>
      <c r="S54" s="9">
        <v>38.685139999999997</v>
      </c>
      <c r="T54" s="7">
        <v>13</v>
      </c>
      <c r="U54" s="6">
        <v>43788</v>
      </c>
      <c r="V54" s="7">
        <v>9845154892</v>
      </c>
      <c r="W54" s="8" t="s">
        <v>151</v>
      </c>
      <c r="X54" s="7" t="s">
        <v>152</v>
      </c>
      <c r="Y54" s="8" t="s">
        <v>153</v>
      </c>
      <c r="Z54" s="7" t="s">
        <v>53</v>
      </c>
      <c r="AA54" s="8" t="s">
        <v>54</v>
      </c>
      <c r="AB54" s="9">
        <v>0.44170000000000004</v>
      </c>
    </row>
    <row r="55" spans="1:28" x14ac:dyDescent="0.35">
      <c r="A55" s="4">
        <v>5977</v>
      </c>
      <c r="B55" s="5" t="s">
        <v>142</v>
      </c>
      <c r="C55" s="6">
        <v>43795</v>
      </c>
      <c r="D55" s="4">
        <v>191</v>
      </c>
      <c r="E55" s="8" t="s">
        <v>50</v>
      </c>
      <c r="F55" s="7" t="s">
        <v>158</v>
      </c>
      <c r="G55" s="8" t="s">
        <v>159</v>
      </c>
      <c r="H55" s="7" t="str">
        <f>"000067"</f>
        <v>000067</v>
      </c>
      <c r="I55" s="6">
        <v>43245</v>
      </c>
      <c r="J55" s="7" t="str">
        <f>"000005"</f>
        <v>000005</v>
      </c>
      <c r="K55" s="6">
        <v>43245</v>
      </c>
      <c r="L55" s="7" t="str">
        <f>"000006"</f>
        <v>000006</v>
      </c>
      <c r="M55" s="6">
        <v>43258</v>
      </c>
      <c r="N55" s="7">
        <v>17</v>
      </c>
      <c r="O55" s="7" t="str">
        <f>"006228"</f>
        <v>006228</v>
      </c>
      <c r="P55" s="6">
        <v>43783</v>
      </c>
      <c r="Q55" s="9">
        <v>6.4630799999999997</v>
      </c>
      <c r="R55" s="9">
        <v>0.28441</v>
      </c>
      <c r="S55" s="9">
        <v>6.1786700000000003</v>
      </c>
      <c r="T55" s="7">
        <v>13</v>
      </c>
      <c r="U55" s="6">
        <v>43795</v>
      </c>
      <c r="V55" s="7">
        <v>7892710027</v>
      </c>
      <c r="W55" s="8" t="s">
        <v>160</v>
      </c>
      <c r="X55" s="7" t="s">
        <v>30</v>
      </c>
      <c r="Y55" s="8" t="s">
        <v>31</v>
      </c>
      <c r="Z55" s="7" t="s">
        <v>43</v>
      </c>
      <c r="AA55" s="8" t="s">
        <v>44</v>
      </c>
      <c r="AB55" s="9">
        <v>6.4630800000000002E-2</v>
      </c>
    </row>
    <row r="56" spans="1:28" x14ac:dyDescent="0.35">
      <c r="A56" s="4">
        <v>5978</v>
      </c>
      <c r="B56" s="5" t="s">
        <v>142</v>
      </c>
      <c r="C56" s="6">
        <v>43795</v>
      </c>
      <c r="D56" s="4">
        <v>191</v>
      </c>
      <c r="E56" s="8" t="s">
        <v>50</v>
      </c>
      <c r="F56" s="7" t="s">
        <v>161</v>
      </c>
      <c r="G56" s="8" t="s">
        <v>162</v>
      </c>
      <c r="H56" s="7" t="str">
        <f>"000068"</f>
        <v>000068</v>
      </c>
      <c r="I56" s="6">
        <v>43245</v>
      </c>
      <c r="J56" s="7" t="str">
        <f>"000006"</f>
        <v>000006</v>
      </c>
      <c r="K56" s="6">
        <v>43245</v>
      </c>
      <c r="L56" s="7" t="str">
        <f>"000008"</f>
        <v>000008</v>
      </c>
      <c r="M56" s="6">
        <v>43258</v>
      </c>
      <c r="N56" s="7">
        <v>17</v>
      </c>
      <c r="O56" s="7" t="str">
        <f>"006230"</f>
        <v>006230</v>
      </c>
      <c r="P56" s="6">
        <v>43783</v>
      </c>
      <c r="Q56" s="9">
        <v>6.4236800000000001</v>
      </c>
      <c r="R56" s="9">
        <v>0.28266000000000002</v>
      </c>
      <c r="S56" s="9">
        <v>6.1410200000000001</v>
      </c>
      <c r="T56" s="7">
        <v>13</v>
      </c>
      <c r="U56" s="6">
        <v>43795</v>
      </c>
      <c r="V56" s="7">
        <v>7892710027</v>
      </c>
      <c r="W56" s="8" t="s">
        <v>160</v>
      </c>
      <c r="X56" s="7" t="s">
        <v>30</v>
      </c>
      <c r="Y56" s="8" t="s">
        <v>31</v>
      </c>
      <c r="Z56" s="7" t="s">
        <v>43</v>
      </c>
      <c r="AA56" s="8" t="s">
        <v>44</v>
      </c>
      <c r="AB56" s="9">
        <v>6.4236799999999997E-2</v>
      </c>
    </row>
    <row r="57" spans="1:28" x14ac:dyDescent="0.35">
      <c r="A57" s="4">
        <v>5979</v>
      </c>
      <c r="B57" s="5" t="s">
        <v>142</v>
      </c>
      <c r="C57" s="6">
        <v>43795</v>
      </c>
      <c r="D57" s="4">
        <v>191</v>
      </c>
      <c r="E57" s="8" t="s">
        <v>50</v>
      </c>
      <c r="F57" s="7" t="s">
        <v>163</v>
      </c>
      <c r="G57" s="8" t="s">
        <v>164</v>
      </c>
      <c r="H57" s="7" t="str">
        <f>"000066"</f>
        <v>000066</v>
      </c>
      <c r="I57" s="6">
        <v>43245</v>
      </c>
      <c r="J57" s="7" t="str">
        <f>"000004"</f>
        <v>000004</v>
      </c>
      <c r="K57" s="6">
        <v>43245</v>
      </c>
      <c r="L57" s="7" t="str">
        <f>"000009"</f>
        <v>000009</v>
      </c>
      <c r="M57" s="6">
        <v>43258</v>
      </c>
      <c r="N57" s="7">
        <v>17</v>
      </c>
      <c r="O57" s="7" t="str">
        <f>"006231"</f>
        <v>006231</v>
      </c>
      <c r="P57" s="6">
        <v>43783</v>
      </c>
      <c r="Q57" s="9">
        <v>6.8638700000000004</v>
      </c>
      <c r="R57" s="9">
        <v>0.30203000000000002</v>
      </c>
      <c r="S57" s="9">
        <v>6.5618400000000001</v>
      </c>
      <c r="T57" s="7">
        <v>13</v>
      </c>
      <c r="U57" s="6">
        <v>43795</v>
      </c>
      <c r="V57" s="7">
        <v>7892710027</v>
      </c>
      <c r="W57" s="8" t="s">
        <v>160</v>
      </c>
      <c r="X57" s="7" t="s">
        <v>30</v>
      </c>
      <c r="Y57" s="8" t="s">
        <v>31</v>
      </c>
      <c r="Z57" s="7" t="s">
        <v>43</v>
      </c>
      <c r="AA57" s="8" t="s">
        <v>44</v>
      </c>
      <c r="AB57" s="9">
        <v>6.8638699999999997E-2</v>
      </c>
    </row>
    <row r="58" spans="1:28" x14ac:dyDescent="0.35">
      <c r="A58" s="4">
        <v>5980</v>
      </c>
      <c r="B58" s="5" t="s">
        <v>142</v>
      </c>
      <c r="C58" s="6">
        <v>43797</v>
      </c>
      <c r="D58" s="4">
        <v>191</v>
      </c>
      <c r="E58" s="8" t="s">
        <v>50</v>
      </c>
      <c r="F58" s="7" t="s">
        <v>165</v>
      </c>
      <c r="G58" s="8" t="s">
        <v>166</v>
      </c>
      <c r="H58" s="7" t="str">
        <f>"000601"</f>
        <v>000601</v>
      </c>
      <c r="I58" s="6">
        <v>43186</v>
      </c>
      <c r="J58" s="7" t="str">
        <f>"000065"</f>
        <v>000065</v>
      </c>
      <c r="K58" s="6">
        <v>43356</v>
      </c>
      <c r="L58" s="7" t="str">
        <f>"000247"</f>
        <v>000247</v>
      </c>
      <c r="M58" s="6">
        <v>43369</v>
      </c>
      <c r="N58" s="7">
        <v>18</v>
      </c>
      <c r="O58" s="7" t="str">
        <f>"006270"</f>
        <v>006270</v>
      </c>
      <c r="P58" s="6">
        <v>43787</v>
      </c>
      <c r="Q58" s="9">
        <v>10.366</v>
      </c>
      <c r="R58" s="9">
        <v>1.0004999999999999</v>
      </c>
      <c r="S58" s="9">
        <v>9.3655000000000008</v>
      </c>
      <c r="T58" s="7">
        <v>13</v>
      </c>
      <c r="U58" s="6">
        <v>43797</v>
      </c>
      <c r="V58" s="7">
        <v>9972188889</v>
      </c>
      <c r="W58" s="8" t="s">
        <v>167</v>
      </c>
      <c r="X58" s="7" t="s">
        <v>168</v>
      </c>
      <c r="Y58" s="8" t="s">
        <v>169</v>
      </c>
      <c r="Z58" s="7" t="s">
        <v>53</v>
      </c>
      <c r="AA58" s="8" t="s">
        <v>54</v>
      </c>
      <c r="AB58" s="9">
        <v>0.10366</v>
      </c>
    </row>
    <row r="59" spans="1:28" x14ac:dyDescent="0.35">
      <c r="A59" s="4">
        <v>5981</v>
      </c>
      <c r="B59" s="5" t="s">
        <v>142</v>
      </c>
      <c r="C59" s="6">
        <v>43797</v>
      </c>
      <c r="D59" s="4">
        <v>191</v>
      </c>
      <c r="E59" s="8" t="s">
        <v>50</v>
      </c>
      <c r="F59" s="7" t="s">
        <v>170</v>
      </c>
      <c r="G59" s="8" t="s">
        <v>171</v>
      </c>
      <c r="H59" s="7" t="str">
        <f>"000602"</f>
        <v>000602</v>
      </c>
      <c r="I59" s="6">
        <v>43186</v>
      </c>
      <c r="J59" s="7" t="str">
        <f>"000064"</f>
        <v>000064</v>
      </c>
      <c r="K59" s="6">
        <v>43356</v>
      </c>
      <c r="L59" s="7" t="str">
        <f>"000248"</f>
        <v>000248</v>
      </c>
      <c r="M59" s="6">
        <v>43369</v>
      </c>
      <c r="N59" s="7">
        <v>18</v>
      </c>
      <c r="O59" s="7" t="str">
        <f>"006271"</f>
        <v>006271</v>
      </c>
      <c r="P59" s="6">
        <v>43787</v>
      </c>
      <c r="Q59" s="9">
        <v>11.057</v>
      </c>
      <c r="R59" s="9">
        <v>1.06715</v>
      </c>
      <c r="S59" s="9">
        <v>9.9898500000000006</v>
      </c>
      <c r="T59" s="7">
        <v>13</v>
      </c>
      <c r="U59" s="6">
        <v>43797</v>
      </c>
      <c r="V59" s="7">
        <v>9972188889</v>
      </c>
      <c r="W59" s="8" t="s">
        <v>172</v>
      </c>
      <c r="X59" s="7" t="s">
        <v>30</v>
      </c>
      <c r="Y59" s="8" t="s">
        <v>31</v>
      </c>
      <c r="Z59" s="7" t="s">
        <v>53</v>
      </c>
      <c r="AA59" s="8" t="s">
        <v>54</v>
      </c>
      <c r="AB59" s="9">
        <v>0.11057</v>
      </c>
    </row>
    <row r="60" spans="1:28" x14ac:dyDescent="0.35">
      <c r="A60" s="4">
        <v>5982</v>
      </c>
      <c r="B60" s="5" t="s">
        <v>142</v>
      </c>
      <c r="C60" s="6">
        <v>43797</v>
      </c>
      <c r="D60" s="4">
        <v>191</v>
      </c>
      <c r="E60" s="8" t="s">
        <v>50</v>
      </c>
      <c r="F60" s="7" t="s">
        <v>173</v>
      </c>
      <c r="G60" s="8" t="s">
        <v>174</v>
      </c>
      <c r="H60" s="7" t="str">
        <f>"000600"</f>
        <v>000600</v>
      </c>
      <c r="I60" s="6">
        <v>43186</v>
      </c>
      <c r="J60" s="7" t="str">
        <f>"000061"</f>
        <v>000061</v>
      </c>
      <c r="K60" s="6">
        <v>43356</v>
      </c>
      <c r="L60" s="7" t="str">
        <f>"000250"</f>
        <v>000250</v>
      </c>
      <c r="M60" s="6">
        <v>43369</v>
      </c>
      <c r="N60" s="7">
        <v>18</v>
      </c>
      <c r="O60" s="7" t="str">
        <f>"006272"</f>
        <v>006272</v>
      </c>
      <c r="P60" s="6">
        <v>43787</v>
      </c>
      <c r="Q60" s="9">
        <v>11.057</v>
      </c>
      <c r="R60" s="9">
        <v>1.06715</v>
      </c>
      <c r="S60" s="9">
        <v>9.9898500000000006</v>
      </c>
      <c r="T60" s="7">
        <v>13</v>
      </c>
      <c r="U60" s="6">
        <v>43797</v>
      </c>
      <c r="V60" s="7">
        <v>9972188889</v>
      </c>
      <c r="W60" s="8" t="s">
        <v>172</v>
      </c>
      <c r="X60" s="7" t="s">
        <v>168</v>
      </c>
      <c r="Y60" s="8" t="s">
        <v>169</v>
      </c>
      <c r="Z60" s="7" t="s">
        <v>53</v>
      </c>
      <c r="AA60" s="8" t="s">
        <v>54</v>
      </c>
      <c r="AB60" s="9">
        <v>0.11057</v>
      </c>
    </row>
    <row r="61" spans="1:28" x14ac:dyDescent="0.35">
      <c r="A61" s="4">
        <v>5983</v>
      </c>
      <c r="B61" s="5" t="s">
        <v>175</v>
      </c>
      <c r="C61" s="6">
        <v>43815</v>
      </c>
      <c r="D61" s="4">
        <v>191</v>
      </c>
      <c r="E61" s="8" t="s">
        <v>50</v>
      </c>
      <c r="F61" s="7" t="s">
        <v>176</v>
      </c>
      <c r="G61" s="8" t="s">
        <v>177</v>
      </c>
      <c r="H61" s="7" t="str">
        <f>"000260"</f>
        <v>000260</v>
      </c>
      <c r="I61" s="6">
        <v>42825</v>
      </c>
      <c r="J61" s="7" t="str">
        <f>"000019"</f>
        <v>000019</v>
      </c>
      <c r="K61" s="6">
        <v>43246</v>
      </c>
      <c r="L61" s="7" t="str">
        <f>"000105"</f>
        <v>000105</v>
      </c>
      <c r="M61" s="6">
        <v>43250</v>
      </c>
      <c r="N61" s="7">
        <v>17</v>
      </c>
      <c r="O61" s="7" t="str">
        <f>"006576"</f>
        <v>006576</v>
      </c>
      <c r="P61" s="6">
        <v>43802</v>
      </c>
      <c r="Q61" s="9">
        <v>18.837499999999999</v>
      </c>
      <c r="R61" s="9">
        <v>2.4445000000000001</v>
      </c>
      <c r="S61" s="9">
        <v>16.393000000000001</v>
      </c>
      <c r="T61" s="7">
        <v>13</v>
      </c>
      <c r="U61" s="6">
        <v>43815</v>
      </c>
      <c r="V61" s="7">
        <v>9972188889</v>
      </c>
      <c r="W61" s="8" t="s">
        <v>132</v>
      </c>
      <c r="X61" s="7" t="s">
        <v>30</v>
      </c>
      <c r="Y61" s="8" t="s">
        <v>31</v>
      </c>
      <c r="Z61" s="7" t="s">
        <v>53</v>
      </c>
      <c r="AA61" s="8" t="s">
        <v>54</v>
      </c>
      <c r="AB61" s="9">
        <v>0.18837499999999999</v>
      </c>
    </row>
    <row r="62" spans="1:28" x14ac:dyDescent="0.35">
      <c r="A62" s="4">
        <v>5984</v>
      </c>
      <c r="B62" s="5" t="s">
        <v>175</v>
      </c>
      <c r="C62" s="6">
        <v>43815</v>
      </c>
      <c r="D62" s="4">
        <v>191</v>
      </c>
      <c r="E62" s="8" t="s">
        <v>50</v>
      </c>
      <c r="F62" s="7" t="s">
        <v>178</v>
      </c>
      <c r="G62" s="8" t="s">
        <v>179</v>
      </c>
      <c r="H62" s="7" t="str">
        <f>"000259"</f>
        <v>000259</v>
      </c>
      <c r="I62" s="6">
        <v>43138</v>
      </c>
      <c r="J62" s="7" t="str">
        <f>"000020"</f>
        <v>000020</v>
      </c>
      <c r="K62" s="6">
        <v>43246</v>
      </c>
      <c r="L62" s="7" t="str">
        <f>"000106"</f>
        <v>000106</v>
      </c>
      <c r="M62" s="6">
        <v>43250</v>
      </c>
      <c r="N62" s="7">
        <v>15</v>
      </c>
      <c r="O62" s="7" t="str">
        <f>"006578"</f>
        <v>006578</v>
      </c>
      <c r="P62" s="6">
        <v>43802</v>
      </c>
      <c r="Q62" s="9">
        <v>20.899799999999999</v>
      </c>
      <c r="R62" s="9">
        <v>2.5684999999999998</v>
      </c>
      <c r="S62" s="9">
        <v>18.331299999999999</v>
      </c>
      <c r="T62" s="7">
        <v>13</v>
      </c>
      <c r="U62" s="6">
        <v>43815</v>
      </c>
      <c r="V62" s="7">
        <v>9972188889</v>
      </c>
      <c r="W62" s="8" t="s">
        <v>180</v>
      </c>
      <c r="X62" s="7" t="s">
        <v>30</v>
      </c>
      <c r="Y62" s="8" t="s">
        <v>31</v>
      </c>
      <c r="Z62" s="7" t="s">
        <v>53</v>
      </c>
      <c r="AA62" s="8" t="s">
        <v>54</v>
      </c>
      <c r="AB62" s="9">
        <v>0.20899799999999999</v>
      </c>
    </row>
    <row r="63" spans="1:28" x14ac:dyDescent="0.35">
      <c r="A63" s="4">
        <v>5985</v>
      </c>
      <c r="B63" s="5" t="s">
        <v>175</v>
      </c>
      <c r="C63" s="6">
        <v>43816</v>
      </c>
      <c r="D63" s="4">
        <v>191</v>
      </c>
      <c r="E63" s="8" t="s">
        <v>50</v>
      </c>
      <c r="F63" s="7" t="s">
        <v>69</v>
      </c>
      <c r="G63" s="8" t="s">
        <v>70</v>
      </c>
      <c r="H63" s="7" t="str">
        <f>"000016"</f>
        <v>000016</v>
      </c>
      <c r="I63" s="6">
        <v>42934</v>
      </c>
      <c r="J63" s="7" t="str">
        <f>"000050"</f>
        <v>000050</v>
      </c>
      <c r="K63" s="6">
        <v>43808</v>
      </c>
      <c r="L63" s="7" t="str">
        <f>"000048"</f>
        <v>000048</v>
      </c>
      <c r="M63" s="6">
        <v>43808</v>
      </c>
      <c r="N63" s="7">
        <v>16</v>
      </c>
      <c r="O63" s="7" t="str">
        <f>"006835"</f>
        <v>006835</v>
      </c>
      <c r="P63" s="6">
        <v>43815</v>
      </c>
      <c r="Q63" s="9">
        <v>3.25048</v>
      </c>
      <c r="R63" s="9">
        <v>0.41105000000000003</v>
      </c>
      <c r="S63" s="9">
        <v>2.8394300000000001</v>
      </c>
      <c r="T63" s="7">
        <v>13</v>
      </c>
      <c r="U63" s="6">
        <v>43816</v>
      </c>
      <c r="V63" s="7">
        <v>9448522225</v>
      </c>
      <c r="W63" s="8" t="s">
        <v>71</v>
      </c>
      <c r="X63" s="7" t="s">
        <v>34</v>
      </c>
      <c r="Y63" s="8" t="s">
        <v>33</v>
      </c>
      <c r="Z63" s="7" t="s">
        <v>43</v>
      </c>
      <c r="AA63" s="8" t="s">
        <v>44</v>
      </c>
      <c r="AB63" s="9">
        <v>3.25048E-2</v>
      </c>
    </row>
    <row r="64" spans="1:28" x14ac:dyDescent="0.35">
      <c r="A64" s="4">
        <v>5986</v>
      </c>
      <c r="B64" s="5" t="s">
        <v>175</v>
      </c>
      <c r="C64" s="6">
        <v>43816</v>
      </c>
      <c r="D64" s="4">
        <v>191</v>
      </c>
      <c r="E64" s="8" t="s">
        <v>50</v>
      </c>
      <c r="F64" s="7" t="s">
        <v>64</v>
      </c>
      <c r="G64" s="8" t="s">
        <v>65</v>
      </c>
      <c r="H64" s="7" t="str">
        <f>"000017"</f>
        <v>000017</v>
      </c>
      <c r="I64" s="6">
        <v>42934</v>
      </c>
      <c r="J64" s="7" t="str">
        <f>"000051"</f>
        <v>000051</v>
      </c>
      <c r="K64" s="6">
        <v>43808</v>
      </c>
      <c r="L64" s="7" t="str">
        <f>"000049"</f>
        <v>000049</v>
      </c>
      <c r="M64" s="6">
        <v>43808</v>
      </c>
      <c r="N64" s="7">
        <v>16</v>
      </c>
      <c r="O64" s="7" t="str">
        <f>"006837"</f>
        <v>006837</v>
      </c>
      <c r="P64" s="6">
        <v>43815</v>
      </c>
      <c r="Q64" s="9">
        <v>2.7597299999999998</v>
      </c>
      <c r="R64" s="9">
        <v>0.35548999999999997</v>
      </c>
      <c r="S64" s="9">
        <v>2.4042400000000002</v>
      </c>
      <c r="T64" s="7">
        <v>13</v>
      </c>
      <c r="U64" s="6">
        <v>43816</v>
      </c>
      <c r="V64" s="7">
        <v>9448522225</v>
      </c>
      <c r="W64" s="8" t="s">
        <v>66</v>
      </c>
      <c r="X64" s="7" t="s">
        <v>34</v>
      </c>
      <c r="Y64" s="8" t="s">
        <v>33</v>
      </c>
      <c r="Z64" s="7" t="s">
        <v>43</v>
      </c>
      <c r="AA64" s="8" t="s">
        <v>44</v>
      </c>
      <c r="AB64" s="9">
        <v>2.7597299999999998E-2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2020-01-30T07:07:38Z</dcterms:modified>
</cp:coreProperties>
</file>