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3" i="1" l="1"/>
  <c r="L43" i="1"/>
  <c r="J43" i="1"/>
  <c r="H43" i="1"/>
  <c r="O42" i="1"/>
  <c r="L42" i="1"/>
  <c r="J42" i="1"/>
  <c r="H42" i="1"/>
  <c r="O41" i="1"/>
  <c r="L41" i="1"/>
  <c r="J41" i="1"/>
  <c r="H41" i="1"/>
  <c r="O40" i="1"/>
  <c r="L40" i="1"/>
  <c r="J40" i="1"/>
  <c r="H40" i="1"/>
  <c r="O39" i="1"/>
  <c r="L39" i="1"/>
  <c r="J39" i="1"/>
  <c r="H39" i="1"/>
  <c r="O38" i="1"/>
  <c r="L38" i="1"/>
  <c r="J38" i="1"/>
  <c r="H38"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O19" i="1"/>
  <c r="L19" i="1"/>
  <c r="J19" i="1"/>
  <c r="H19" i="1"/>
  <c r="O18" i="1"/>
  <c r="L18" i="1"/>
  <c r="J18" i="1"/>
  <c r="H18" i="1"/>
  <c r="O17" i="1"/>
  <c r="L17" i="1"/>
  <c r="J17" i="1"/>
  <c r="H17" i="1"/>
  <c r="O16" i="1"/>
  <c r="L16" i="1"/>
  <c r="J16" i="1"/>
  <c r="H16"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<sst xmlns="http://schemas.openxmlformats.org/spreadsheetml/2006/main" count="406" uniqueCount="167">
  <si>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</si>
  <si>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</si>
  <si>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</si>
  <si>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</si>
  <si>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</si>
  <si>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</si>
  <si>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</si>
  <si>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</si>
  <si>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</si>
  <si>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</si>
  <si>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</si>
  <si>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</si>
  <si>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</si>
  <si>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</si>
  <si>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</si>
  <si>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</si>
  <si>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</si>
  <si>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</si>
  <si>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</si>
  <si>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</si>
  <si>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</si>
  <si>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</si>
  <si>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</si>
  <si>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</si>
  <si>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</si>
  <si>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</si>
  <si>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</si>
  <si>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</si>
  <si>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</si>
  <si>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</si>
  <si>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</si>
  <si>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</si>
  <si>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</si>
  <si>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M and R to Street Lights - Replacement of Burnt Bulbs etc. (Package)</t>
  </si>
  <si>
    <t>P0300</t>
  </si>
  <si>
    <t>P3158</t>
  </si>
  <si>
    <t>SIP Infrastructure Project works</t>
  </si>
  <si>
    <t>P0190</t>
  </si>
  <si>
    <t>Works sanctioned by Hon Mayor</t>
  </si>
  <si>
    <t>P3295</t>
  </si>
  <si>
    <t>14th Finance Commission Works - UGD Works</t>
  </si>
  <si>
    <t>P1878</t>
  </si>
  <si>
    <t>18per - Works (Bhagyajyothi, Sooru / Neeru Yojane and General) (54 Lakhs / New Wards)</t>
  </si>
  <si>
    <t>KRIDL</t>
  </si>
  <si>
    <t>M/s KRIDL</t>
  </si>
  <si>
    <t>P3175</t>
  </si>
  <si>
    <t>Special development works in ward No.172, 154, 197, 77, 75, 192, 102, 18, 41 (Rs.400 lakhs each ward)</t>
  </si>
  <si>
    <t>ddo439</t>
  </si>
  <si>
    <t xml:space="preserve"> Executive Engineer Electrical Division Bomanahalli Zone</t>
  </si>
  <si>
    <t>M Ramesh</t>
  </si>
  <si>
    <t>P0613</t>
  </si>
  <si>
    <t>Redoing of Road cut Portions (Deposit Contributions)</t>
  </si>
  <si>
    <t>M/s Ramya Electricals</t>
  </si>
  <si>
    <t>ddo443</t>
  </si>
  <si>
    <t xml:space="preserve"> Assistant Executive Engineer Begur Sub Division Bomanahalli Zone</t>
  </si>
  <si>
    <t>Beguru</t>
  </si>
  <si>
    <t>192-19-000200</t>
  </si>
  <si>
    <t>Restoration of Road cut portion done by BWSSB -BESCOM-KPTCL in Yelechanahalli Doddakammanahalli Chikktogur surrounding area in ward no 192 in Bengaluru South Division roads under BBMP Limits Phase-1</t>
  </si>
  <si>
    <t>192-17-000001</t>
  </si>
  <si>
    <t>Improvements to roads and drains at Akshayanagara East layout in ward no 192 Begur</t>
  </si>
  <si>
    <t>192-16-000005</t>
  </si>
  <si>
    <t>Emergency works in Begur ward No 192 (POW 2015-16)</t>
  </si>
  <si>
    <t>Sri Venkatakrishna</t>
  </si>
  <si>
    <t>192-16-000006</t>
  </si>
  <si>
    <t>Engaging tractor and labour in ward No 192 (POW 2015-16)</t>
  </si>
  <si>
    <t>Venkatakrishna</t>
  </si>
  <si>
    <t>192-13-000050</t>
  </si>
  <si>
    <t>Providing Sanitary and C C road at Dandu Beddi in begur village in ward no 192</t>
  </si>
  <si>
    <t>P2654</t>
  </si>
  <si>
    <t>Special Package for 110 Villages (Rs. 1 Crore Per Village)</t>
  </si>
  <si>
    <t>192-16-000002</t>
  </si>
  <si>
    <t>Annual Operation and Maintenance of street lighting system in Doddakammanahalli Basvanapura Tejaswini nagar Chikkakammanahalli and associated area of ward no-192 Begur Package B9B of Bommanahalli zone.</t>
  </si>
  <si>
    <t>192-16-000001</t>
  </si>
  <si>
    <t>Annual Operation and Maintenance of street lighting system in Begur Subhash Nagara vishwapriya Layout Bassapura and associated area of ward no-192 Begur Package B9A of Bommanahalli zone.</t>
  </si>
  <si>
    <t>192-18-000007</t>
  </si>
  <si>
    <t>Improvements of roads and drains at Kalena Agrahara village of ward No 192 Begur</t>
  </si>
  <si>
    <t>192-18-000013</t>
  </si>
  <si>
    <t>Improvements of drains and concrete roads in Elenahalli village in ward No 192 Begur</t>
  </si>
  <si>
    <t>192-17-000016</t>
  </si>
  <si>
    <t>Providing Name boards in ward No 192 of Begur (POW 2016-17)</t>
  </si>
  <si>
    <t>N Jagadish</t>
  </si>
  <si>
    <t>192-18-000032</t>
  </si>
  <si>
    <t>Providing UGD works in ward no 192</t>
  </si>
  <si>
    <t>192-17-000027</t>
  </si>
  <si>
    <t>Improvements to roads at A D Colony in ward no 192</t>
  </si>
  <si>
    <t>K Vishwesha</t>
  </si>
  <si>
    <t>192-17-000017</t>
  </si>
  <si>
    <t>Improvements to Lingayaths burial ground of Begur in ward No 192 (POW 2016-17)</t>
  </si>
  <si>
    <t>192-17-000005</t>
  </si>
  <si>
    <t>Emergency works and Ward Maintenance in Ward No 192 Begur POW 2016-17</t>
  </si>
  <si>
    <t xml:space="preserve">Sri Vishwesha </t>
  </si>
  <si>
    <t>192-19-000001</t>
  </si>
  <si>
    <t>Detail project report  and project management consulting services for Construction of roads and drains at Mico Layout, Vishwapriya Layout, Akshayanagara, Subhash Nagaram, Basapura, Basavanapura, Chikkakammanahalli Doddakammanahalli of ward no 192 of Bangalore south consituency, Bommanahalli zone of BBMP Area, Bengaluru, Phase 1 Detail project report, Phase 2 Project Management consulting.</t>
  </si>
  <si>
    <t>Sri B K Vinod Kumar</t>
  </si>
  <si>
    <t>July</t>
  </si>
  <si>
    <t>192-18-000094</t>
  </si>
  <si>
    <t>IMPROVEMENTS TO ROAD AND CC DRAIN AT CHIKKABEGUR VILLAGE OF WARD NO 192 BEGUR</t>
  </si>
  <si>
    <t>192-18-000009</t>
  </si>
  <si>
    <t>Improvements of roads and drains at Begur koramara Palya village of ward No 192 Begur</t>
  </si>
  <si>
    <t>192-20-000003</t>
  </si>
  <si>
    <t>Restoration of road cut portion done by BWSSB for water supply pipe line in Classic layout, dream pradise layout, Subhash Nagara and Chikka Thoguru and surrounding areas of ward no 192 in Bangaluru South Division roads under BBMP limits Phase-2</t>
  </si>
  <si>
    <t>Ramesh M</t>
  </si>
  <si>
    <t>192-17-000044</t>
  </si>
  <si>
    <t>Engagement of Gangman and Hiring of Troctor Tippers for cleaning and maintenance of road side drains and other civil works in ward 192</t>
  </si>
  <si>
    <t>Sri H M Munikrishna</t>
  </si>
  <si>
    <t>P3110</t>
  </si>
  <si>
    <t>14th Finance Commission Grant Works</t>
  </si>
  <si>
    <t>192-18-000074</t>
  </si>
  <si>
    <t>Improvements to Drains and culverts at Chikkammanahalli in ward no 192 Begur</t>
  </si>
  <si>
    <t xml:space="preserve">K N Shivashankaraiah </t>
  </si>
  <si>
    <t>P3364</t>
  </si>
  <si>
    <t>Special development works in Ward No. 18, 157, 107, 180, 192, 46, 127, 115, 163, 168 ( Rs. 3.00 Crores in each ward)</t>
  </si>
  <si>
    <t>192-18-000072</t>
  </si>
  <si>
    <t>Providing Water supply to distributary line at Subhash ngara A B and C Block in ward no 192 Begur</t>
  </si>
  <si>
    <t>Sri Kempananje Gowda</t>
  </si>
  <si>
    <t>August</t>
  </si>
  <si>
    <t>Detail project report and project management consulting services for Construction of roads and drains at Mico Layout, Vishwapriya Layout, Akshayanagara, Subhash Nagaram, Basapura, Basavanapura, Chikkakammanahalli Doddakammanahalli of ward no 192 of Bangalore south consituency, Bommanahalli zone of BBMP Area, Bengaluru, Phase 1 Detail project report, Phase 2 Project Management consulting.</t>
  </si>
  <si>
    <t>310-11-000024</t>
  </si>
  <si>
    <t>Setting up and operation of Boi methanisation plant for generation of Energy from Bio degradable waste of 50MTPD in ward No-192,Begur ,Gundutopu.</t>
  </si>
  <si>
    <t>M/s Ashoka Biogreen Pvt Ltd</t>
  </si>
  <si>
    <t>P2200</t>
  </si>
  <si>
    <t>Works to be taken up under 13th Finance Commission</t>
  </si>
  <si>
    <t>ddo326</t>
  </si>
  <si>
    <t xml:space="preserve"> Executive Engineer SWM 1 Central Zone</t>
  </si>
  <si>
    <t>192-13-000048</t>
  </si>
  <si>
    <t>Providing Sanitary Line at cross roads of Ellenahalli village in ward no 192</t>
  </si>
  <si>
    <t>September</t>
  </si>
  <si>
    <t>192-18-000090</t>
  </si>
  <si>
    <t>Improvements to roads and drains to kerekatee road in Begur village ward no 192 Begur</t>
  </si>
  <si>
    <t>Basavaraju</t>
  </si>
  <si>
    <t>192-18-000093</t>
  </si>
  <si>
    <t>Providing name board in ward no 192 Begur</t>
  </si>
  <si>
    <t>Ms BVH Consulting Engineers Pvt Ltd</t>
  </si>
  <si>
    <t>192-18-000025</t>
  </si>
  <si>
    <t>Maintenance of Park in ward no 192 Begur</t>
  </si>
  <si>
    <t>P3292</t>
  </si>
  <si>
    <t>14th Finance Commission Works - Community Property Maintenance (including Parks)</t>
  </si>
  <si>
    <t>192-18-000028</t>
  </si>
  <si>
    <t>Providing UGD works in ward no 192 Begur</t>
  </si>
  <si>
    <t>192-15-000003</t>
  </si>
  <si>
    <t>Annual maintenance of Borewells of Begur in ward No 192</t>
  </si>
  <si>
    <t>KMVSN Raju</t>
  </si>
  <si>
    <t>October</t>
  </si>
  <si>
    <t>192-18-000069</t>
  </si>
  <si>
    <t>Drilling of borewells and errection of pump and motor in ward No 192</t>
  </si>
  <si>
    <t>H M Munikrishna</t>
  </si>
  <si>
    <t>P1802</t>
  </si>
  <si>
    <t>Water Supply New Areas</t>
  </si>
  <si>
    <t>192-18-000095</t>
  </si>
  <si>
    <t>IMPROVEMENTS TO ROAD AND CC DRAIN AT A K COLONY BEGUR VILLAGE OF WARD NO 192 BEGUR</t>
  </si>
  <si>
    <t>192-18-000015</t>
  </si>
  <si>
    <t>Providing and Fixing LED Lights and fittings and electrical works in Chikka Beguru, Dodda Kammanahalli and Basavanapura in ward No 192</t>
  </si>
  <si>
    <t>M/s Technical Manager-01</t>
  </si>
  <si>
    <t>192-18-000014</t>
  </si>
  <si>
    <t>Providing and fixing LED Lights and fittings and electrical works in Begur, Subhash Nagara and Chikka Begur in ward No 192</t>
  </si>
  <si>
    <t>192-18-000026</t>
  </si>
  <si>
    <t>Supplying of drinking water in ward no 192 Begur</t>
  </si>
  <si>
    <t>P3293</t>
  </si>
  <si>
    <t>14th Finance Commission Works - Drinking Water</t>
  </si>
  <si>
    <t>192-17-000037</t>
  </si>
  <si>
    <t xml:space="preserve">Providing drinking water works in Ward No 192 in Bangalore South Division </t>
  </si>
  <si>
    <t>ddo438</t>
  </si>
  <si>
    <t xml:space="preserve"> Executive Engineer Project Division Bomanahalli Zone</t>
  </si>
  <si>
    <t>December</t>
  </si>
  <si>
    <t>192-17-000021</t>
  </si>
  <si>
    <t>Supplying drinking water through water tankersat Begur and Various layout of Ward No 192 (Doddakammanahalli, Chikka Kammanahalli, Basavanapura, Kalena Agrahara and other layout) (POW 2016-17 Water supply)</t>
  </si>
  <si>
    <t>MUNIKRISHNA H 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</si>
</sst>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3"/>
  <sheetViews>
    <sheetView tabSelected="1" workbookViewId="0">
      <selection activeCell="E2" sqref="E2"/>
    </sheetView>
  </sheetViews>
  <sheetFormatPr defaultRowHeight="14.5" x14ac:dyDescent="0.35"/>
  <cols>
    <col min="1" max="1" width="5" bestFit="1" customWidth="1"/>
    <col min="2" max="2" width="6.26953125" bestFit="1" customWidth="1"/>
    <col min="3" max="3" width="9.54296875" bestFit="1" customWidth="1"/>
    <col min="5" max="5" width="10.36328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5987</v>
      </c>
      <c r="B2" s="5" t="s">
        <v>28</v>
      </c>
      <c r="C2" s="6">
        <v>43559</v>
      </c>
      <c r="D2" s="7">
        <v>192</v>
      </c>
      <c r="E2" s="8" t="s">
        <v>55</v>
      </c>
      <c r="F2" s="7" t="s">
        <v>56</v>
      </c>
      <c r="G2" s="8" t="s">
        <v>57</v>
      </c>
      <c r="H2" s="7" t="str">
        <f>"000223"</f>
        <v>000223</v>
      </c>
      <c r="I2" s="6">
        <v>43531</v>
      </c>
      <c r="J2" s="7" t="str">
        <f>"000005"</f>
        <v>000005</v>
      </c>
      <c r="K2" s="6">
        <v>43579</v>
      </c>
      <c r="L2" s="7" t="str">
        <f>"000013"</f>
        <v>000013</v>
      </c>
      <c r="M2" s="6">
        <v>43582</v>
      </c>
      <c r="N2" s="7">
        <v>19</v>
      </c>
      <c r="O2" s="7" t="str">
        <f>"001225"</f>
        <v>001225</v>
      </c>
      <c r="P2" s="6">
        <v>43584</v>
      </c>
      <c r="Q2" s="9">
        <v>71.003780000000006</v>
      </c>
      <c r="R2" s="9">
        <v>3.0945</v>
      </c>
      <c r="S2" s="9">
        <v>67.909279999999995</v>
      </c>
      <c r="T2" s="7">
        <v>1</v>
      </c>
      <c r="U2" s="6">
        <v>43559</v>
      </c>
      <c r="V2" s="7">
        <v>9845057449</v>
      </c>
      <c r="W2" s="8" t="s">
        <v>49</v>
      </c>
      <c r="X2" s="7" t="s">
        <v>50</v>
      </c>
      <c r="Y2" s="8" t="s">
        <v>51</v>
      </c>
      <c r="Z2" s="7" t="s">
        <v>53</v>
      </c>
      <c r="AA2" s="8" t="s">
        <v>54</v>
      </c>
      <c r="AB2" s="9">
        <f t="shared" ref="AB2:AB14" si="0">Q2/100</f>
        <v>0.71003780000000005</v>
      </c>
    </row>
    <row r="3" spans="1:28" x14ac:dyDescent="0.35">
      <c r="A3" s="4">
        <v>5988</v>
      </c>
      <c r="B3" s="5" t="s">
        <v>28</v>
      </c>
      <c r="C3" s="6">
        <v>43566</v>
      </c>
      <c r="D3" s="7">
        <v>192</v>
      </c>
      <c r="E3" s="8" t="s">
        <v>55</v>
      </c>
      <c r="F3" s="7" t="s">
        <v>58</v>
      </c>
      <c r="G3" s="8" t="s">
        <v>59</v>
      </c>
      <c r="H3" s="7" t="str">
        <f>"00a165"</f>
        <v>00a165</v>
      </c>
      <c r="I3" s="6">
        <v>42763</v>
      </c>
      <c r="J3" s="7" t="str">
        <f>"000100"</f>
        <v>000100</v>
      </c>
      <c r="K3" s="6">
        <v>42916</v>
      </c>
      <c r="L3" s="7" t="str">
        <f>"000188"</f>
        <v>000188</v>
      </c>
      <c r="M3" s="6">
        <v>42916</v>
      </c>
      <c r="N3" s="7">
        <v>17</v>
      </c>
      <c r="O3" s="7" t="str">
        <f>"000081"</f>
        <v>000081</v>
      </c>
      <c r="P3" s="6">
        <v>43563</v>
      </c>
      <c r="Q3" s="9">
        <v>98.939300000000003</v>
      </c>
      <c r="R3" s="9">
        <v>16.332899999999999</v>
      </c>
      <c r="S3" s="9">
        <v>82.606399999999994</v>
      </c>
      <c r="T3" s="7">
        <v>12</v>
      </c>
      <c r="U3" s="6">
        <v>43566</v>
      </c>
      <c r="V3" s="7">
        <v>9448742983</v>
      </c>
      <c r="W3" s="8" t="s">
        <v>43</v>
      </c>
      <c r="X3" s="7" t="s">
        <v>37</v>
      </c>
      <c r="Y3" s="8" t="s">
        <v>38</v>
      </c>
      <c r="Z3" s="7" t="s">
        <v>53</v>
      </c>
      <c r="AA3" s="8" t="s">
        <v>54</v>
      </c>
      <c r="AB3" s="9">
        <f t="shared" si="0"/>
        <v>0.98939300000000008</v>
      </c>
    </row>
    <row r="4" spans="1:28" x14ac:dyDescent="0.35">
      <c r="A4" s="4">
        <v>5989</v>
      </c>
      <c r="B4" s="5" t="s">
        <v>28</v>
      </c>
      <c r="C4" s="6">
        <v>43566</v>
      </c>
      <c r="D4" s="7">
        <v>192</v>
      </c>
      <c r="E4" s="8" t="s">
        <v>55</v>
      </c>
      <c r="F4" s="7" t="s">
        <v>60</v>
      </c>
      <c r="G4" s="8" t="s">
        <v>61</v>
      </c>
      <c r="H4" s="7" t="str">
        <f>"000252"</f>
        <v>000252</v>
      </c>
      <c r="I4" s="6">
        <v>42455</v>
      </c>
      <c r="J4" s="7" t="str">
        <f>"000009"</f>
        <v>000009</v>
      </c>
      <c r="K4" s="6">
        <v>42916</v>
      </c>
      <c r="L4" s="7" t="str">
        <f>"000203"</f>
        <v>000203</v>
      </c>
      <c r="M4" s="6">
        <v>42916</v>
      </c>
      <c r="N4" s="7">
        <v>16</v>
      </c>
      <c r="O4" s="7" t="str">
        <f>"000091"</f>
        <v>000091</v>
      </c>
      <c r="P4" s="6">
        <v>43563</v>
      </c>
      <c r="Q4" s="9">
        <v>19.242000000000001</v>
      </c>
      <c r="R4" s="9">
        <v>2.5605000000000002</v>
      </c>
      <c r="S4" s="9">
        <v>16.6815</v>
      </c>
      <c r="T4" s="7">
        <v>12</v>
      </c>
      <c r="U4" s="6">
        <v>43566</v>
      </c>
      <c r="V4" s="7">
        <v>9141648915</v>
      </c>
      <c r="W4" s="8" t="s">
        <v>62</v>
      </c>
      <c r="X4" s="7" t="s">
        <v>30</v>
      </c>
      <c r="Y4" s="8" t="s">
        <v>31</v>
      </c>
      <c r="Z4" s="7" t="s">
        <v>53</v>
      </c>
      <c r="AA4" s="8" t="s">
        <v>54</v>
      </c>
      <c r="AB4" s="9">
        <f t="shared" si="0"/>
        <v>0.19242000000000001</v>
      </c>
    </row>
    <row r="5" spans="1:28" x14ac:dyDescent="0.35">
      <c r="A5" s="4">
        <v>5990</v>
      </c>
      <c r="B5" s="5" t="s">
        <v>28</v>
      </c>
      <c r="C5" s="6">
        <v>43566</v>
      </c>
      <c r="D5" s="7">
        <v>192</v>
      </c>
      <c r="E5" s="8" t="s">
        <v>55</v>
      </c>
      <c r="F5" s="7" t="s">
        <v>63</v>
      </c>
      <c r="G5" s="8" t="s">
        <v>64</v>
      </c>
      <c r="H5" s="7" t="str">
        <f>"000253"</f>
        <v>000253</v>
      </c>
      <c r="I5" s="6">
        <v>42455</v>
      </c>
      <c r="J5" s="7" t="str">
        <f>"000087"</f>
        <v>000087</v>
      </c>
      <c r="K5" s="6">
        <v>42916</v>
      </c>
      <c r="L5" s="7" t="str">
        <f>"000204"</f>
        <v>000204</v>
      </c>
      <c r="M5" s="6">
        <v>42916</v>
      </c>
      <c r="N5" s="7">
        <v>16</v>
      </c>
      <c r="O5" s="7" t="str">
        <f>"000092"</f>
        <v>000092</v>
      </c>
      <c r="P5" s="6">
        <v>43563</v>
      </c>
      <c r="Q5" s="9">
        <v>4.8129999999999997</v>
      </c>
      <c r="R5" s="9">
        <v>0.5706</v>
      </c>
      <c r="S5" s="9">
        <v>4.2423999999999999</v>
      </c>
      <c r="T5" s="7">
        <v>12</v>
      </c>
      <c r="U5" s="6">
        <v>43566</v>
      </c>
      <c r="V5" s="7">
        <v>9141648915</v>
      </c>
      <c r="W5" s="8" t="s">
        <v>65</v>
      </c>
      <c r="X5" s="7" t="s">
        <v>30</v>
      </c>
      <c r="Y5" s="8" t="s">
        <v>31</v>
      </c>
      <c r="Z5" s="7" t="s">
        <v>53</v>
      </c>
      <c r="AA5" s="8" t="s">
        <v>54</v>
      </c>
      <c r="AB5" s="9">
        <f t="shared" si="0"/>
        <v>4.8129999999999999E-2</v>
      </c>
    </row>
    <row r="6" spans="1:28" x14ac:dyDescent="0.35">
      <c r="A6" s="4">
        <v>5991</v>
      </c>
      <c r="B6" s="5" t="s">
        <v>28</v>
      </c>
      <c r="C6" s="6">
        <v>43580</v>
      </c>
      <c r="D6" s="7">
        <v>192</v>
      </c>
      <c r="E6" s="8" t="s">
        <v>55</v>
      </c>
      <c r="F6" s="7" t="s">
        <v>66</v>
      </c>
      <c r="G6" s="8" t="s">
        <v>67</v>
      </c>
      <c r="H6" s="7" t="str">
        <f>"000375"</f>
        <v>000375</v>
      </c>
      <c r="I6" s="6">
        <v>41334</v>
      </c>
      <c r="J6" s="7" t="str">
        <f>"000078"</f>
        <v>000078</v>
      </c>
      <c r="K6" s="6">
        <v>42916</v>
      </c>
      <c r="L6" s="7" t="str">
        <f>"000181"</f>
        <v>000181</v>
      </c>
      <c r="M6" s="6">
        <v>42916</v>
      </c>
      <c r="N6" s="7">
        <v>13</v>
      </c>
      <c r="O6" s="7" t="str">
        <f>"000728"</f>
        <v>000728</v>
      </c>
      <c r="P6" s="6">
        <v>43578</v>
      </c>
      <c r="Q6" s="9">
        <v>21.937000000000001</v>
      </c>
      <c r="R6" s="9">
        <v>3.5726</v>
      </c>
      <c r="S6" s="9">
        <v>18.3644</v>
      </c>
      <c r="T6" s="7">
        <v>28</v>
      </c>
      <c r="U6" s="6">
        <v>43580</v>
      </c>
      <c r="V6" s="7">
        <v>9036718749</v>
      </c>
      <c r="W6" s="8" t="s">
        <v>43</v>
      </c>
      <c r="X6" s="7" t="s">
        <v>68</v>
      </c>
      <c r="Y6" s="8" t="s">
        <v>69</v>
      </c>
      <c r="Z6" s="7" t="s">
        <v>53</v>
      </c>
      <c r="AA6" s="8" t="s">
        <v>54</v>
      </c>
      <c r="AB6" s="9">
        <f t="shared" si="0"/>
        <v>0.21937000000000001</v>
      </c>
    </row>
    <row r="7" spans="1:28" x14ac:dyDescent="0.35">
      <c r="A7" s="4">
        <v>5992</v>
      </c>
      <c r="B7" s="5" t="s">
        <v>28</v>
      </c>
      <c r="C7" s="6">
        <v>43580</v>
      </c>
      <c r="D7" s="7">
        <v>192</v>
      </c>
      <c r="E7" s="8" t="s">
        <v>55</v>
      </c>
      <c r="F7" s="7" t="s">
        <v>70</v>
      </c>
      <c r="G7" s="8" t="s">
        <v>71</v>
      </c>
      <c r="H7" s="7" t="str">
        <f>"000013"</f>
        <v>000013</v>
      </c>
      <c r="I7" s="6">
        <v>42931</v>
      </c>
      <c r="J7" s="7" t="str">
        <f>"000090"</f>
        <v>000090</v>
      </c>
      <c r="K7" s="6">
        <v>43485</v>
      </c>
      <c r="L7" s="7" t="str">
        <f>"000091"</f>
        <v>000091</v>
      </c>
      <c r="M7" s="6">
        <v>43493</v>
      </c>
      <c r="N7" s="7">
        <v>16</v>
      </c>
      <c r="O7" s="7" t="str">
        <f>"001083"</f>
        <v>001083</v>
      </c>
      <c r="P7" s="6">
        <v>43581</v>
      </c>
      <c r="Q7" s="9">
        <v>0.91593000000000002</v>
      </c>
      <c r="R7" s="9">
        <v>0.13777</v>
      </c>
      <c r="S7" s="9">
        <v>0.77815999999999996</v>
      </c>
      <c r="T7" s="7">
        <v>29</v>
      </c>
      <c r="U7" s="6">
        <v>43580</v>
      </c>
      <c r="V7" s="7">
        <v>9448522800</v>
      </c>
      <c r="W7" s="8" t="s">
        <v>52</v>
      </c>
      <c r="X7" s="7" t="s">
        <v>34</v>
      </c>
      <c r="Y7" s="8" t="s">
        <v>33</v>
      </c>
      <c r="Z7" s="7" t="s">
        <v>47</v>
      </c>
      <c r="AA7" s="8" t="s">
        <v>48</v>
      </c>
      <c r="AB7" s="9">
        <f t="shared" si="0"/>
        <v>9.1593000000000004E-3</v>
      </c>
    </row>
    <row r="8" spans="1:28" x14ac:dyDescent="0.35">
      <c r="A8" s="4">
        <v>5993</v>
      </c>
      <c r="B8" s="5" t="s">
        <v>28</v>
      </c>
      <c r="C8" s="6">
        <v>43580</v>
      </c>
      <c r="D8" s="7">
        <v>192</v>
      </c>
      <c r="E8" s="8" t="s">
        <v>55</v>
      </c>
      <c r="F8" s="7" t="s">
        <v>72</v>
      </c>
      <c r="G8" s="8" t="s">
        <v>73</v>
      </c>
      <c r="H8" s="7" t="str">
        <f>"000012"</f>
        <v>000012</v>
      </c>
      <c r="I8" s="6">
        <v>42931</v>
      </c>
      <c r="J8" s="7" t="str">
        <f>"000089"</f>
        <v>000089</v>
      </c>
      <c r="K8" s="6">
        <v>43485</v>
      </c>
      <c r="L8" s="7" t="str">
        <f>"000092"</f>
        <v>000092</v>
      </c>
      <c r="M8" s="6">
        <v>43493</v>
      </c>
      <c r="N8" s="7">
        <v>16</v>
      </c>
      <c r="O8" s="7" t="str">
        <f>"001072"</f>
        <v>001072</v>
      </c>
      <c r="P8" s="6">
        <v>43581</v>
      </c>
      <c r="Q8" s="9">
        <v>1.03362</v>
      </c>
      <c r="R8" s="9">
        <v>0.14727000000000001</v>
      </c>
      <c r="S8" s="9">
        <v>0.88634999999999997</v>
      </c>
      <c r="T8" s="7">
        <v>29</v>
      </c>
      <c r="U8" s="6">
        <v>43580</v>
      </c>
      <c r="V8" s="7">
        <v>9448522800</v>
      </c>
      <c r="W8" s="8" t="s">
        <v>52</v>
      </c>
      <c r="X8" s="7" t="s">
        <v>34</v>
      </c>
      <c r="Y8" s="8" t="s">
        <v>33</v>
      </c>
      <c r="Z8" s="7" t="s">
        <v>47</v>
      </c>
      <c r="AA8" s="8" t="s">
        <v>48</v>
      </c>
      <c r="AB8" s="9">
        <f t="shared" si="0"/>
        <v>1.03362E-2</v>
      </c>
    </row>
    <row r="9" spans="1:28" x14ac:dyDescent="0.35">
      <c r="A9" s="4">
        <v>5994</v>
      </c>
      <c r="B9" s="5" t="s">
        <v>28</v>
      </c>
      <c r="C9" s="6">
        <v>43582</v>
      </c>
      <c r="D9" s="7">
        <v>192</v>
      </c>
      <c r="E9" s="8" t="s">
        <v>55</v>
      </c>
      <c r="F9" s="7" t="s">
        <v>72</v>
      </c>
      <c r="G9" s="8" t="s">
        <v>73</v>
      </c>
      <c r="H9" s="7" t="str">
        <f>"000012"</f>
        <v>000012</v>
      </c>
      <c r="I9" s="6">
        <v>42931</v>
      </c>
      <c r="J9" s="7" t="str">
        <f>"000089"</f>
        <v>000089</v>
      </c>
      <c r="K9" s="6">
        <v>43485</v>
      </c>
      <c r="L9" s="7" t="str">
        <f>"000092"</f>
        <v>000092</v>
      </c>
      <c r="M9" s="6">
        <v>43493</v>
      </c>
      <c r="N9" s="7">
        <v>16</v>
      </c>
      <c r="O9" s="7" t="str">
        <f>"001072"</f>
        <v>001072</v>
      </c>
      <c r="P9" s="6">
        <v>43581</v>
      </c>
      <c r="Q9" s="9">
        <v>11.36984</v>
      </c>
      <c r="R9" s="9">
        <v>1.6464000000000001</v>
      </c>
      <c r="S9" s="9">
        <v>9.7234400000000001</v>
      </c>
      <c r="T9" s="7">
        <v>32</v>
      </c>
      <c r="U9" s="6">
        <v>43582</v>
      </c>
      <c r="V9" s="7">
        <v>9448522800</v>
      </c>
      <c r="W9" s="8" t="s">
        <v>52</v>
      </c>
      <c r="X9" s="7" t="s">
        <v>34</v>
      </c>
      <c r="Y9" s="8" t="s">
        <v>33</v>
      </c>
      <c r="Z9" s="7" t="s">
        <v>47</v>
      </c>
      <c r="AA9" s="8" t="s">
        <v>48</v>
      </c>
      <c r="AB9" s="9">
        <f t="shared" si="0"/>
        <v>0.11369840000000001</v>
      </c>
    </row>
    <row r="10" spans="1:28" x14ac:dyDescent="0.35">
      <c r="A10" s="4">
        <v>5995</v>
      </c>
      <c r="B10" s="5" t="s">
        <v>28</v>
      </c>
      <c r="C10" s="6">
        <v>43582</v>
      </c>
      <c r="D10" s="7">
        <v>192</v>
      </c>
      <c r="E10" s="8" t="s">
        <v>55</v>
      </c>
      <c r="F10" s="7" t="s">
        <v>70</v>
      </c>
      <c r="G10" s="8" t="s">
        <v>71</v>
      </c>
      <c r="H10" s="7" t="str">
        <f>"000013"</f>
        <v>000013</v>
      </c>
      <c r="I10" s="6">
        <v>42931</v>
      </c>
      <c r="J10" s="7" t="str">
        <f>"000090"</f>
        <v>000090</v>
      </c>
      <c r="K10" s="6">
        <v>43485</v>
      </c>
      <c r="L10" s="7" t="str">
        <f>"000091"</f>
        <v>000091</v>
      </c>
      <c r="M10" s="6">
        <v>43493</v>
      </c>
      <c r="N10" s="7">
        <v>16</v>
      </c>
      <c r="O10" s="7" t="str">
        <f>"001083"</f>
        <v>001083</v>
      </c>
      <c r="P10" s="6">
        <v>43581</v>
      </c>
      <c r="Q10" s="9">
        <v>10.0753</v>
      </c>
      <c r="R10" s="9">
        <v>1.4967999999999999</v>
      </c>
      <c r="S10" s="9">
        <v>8.5785</v>
      </c>
      <c r="T10" s="7">
        <v>32</v>
      </c>
      <c r="U10" s="6">
        <v>43582</v>
      </c>
      <c r="V10" s="7">
        <v>9448522800</v>
      </c>
      <c r="W10" s="8" t="s">
        <v>52</v>
      </c>
      <c r="X10" s="7" t="s">
        <v>34</v>
      </c>
      <c r="Y10" s="8" t="s">
        <v>33</v>
      </c>
      <c r="Z10" s="7" t="s">
        <v>47</v>
      </c>
      <c r="AA10" s="8" t="s">
        <v>48</v>
      </c>
      <c r="AB10" s="9">
        <f t="shared" si="0"/>
        <v>0.10075300000000001</v>
      </c>
    </row>
    <row r="11" spans="1:28" x14ac:dyDescent="0.35">
      <c r="A11" s="4">
        <v>5996</v>
      </c>
      <c r="B11" s="5" t="s">
        <v>32</v>
      </c>
      <c r="C11" s="6">
        <v>43588</v>
      </c>
      <c r="D11" s="7">
        <v>192</v>
      </c>
      <c r="E11" s="8" t="s">
        <v>55</v>
      </c>
      <c r="F11" s="7" t="s">
        <v>56</v>
      </c>
      <c r="G11" s="8" t="s">
        <v>57</v>
      </c>
      <c r="H11" s="7" t="str">
        <f>"000223"</f>
        <v>000223</v>
      </c>
      <c r="I11" s="6">
        <v>43531</v>
      </c>
      <c r="J11" s="7" t="str">
        <f>"000005"</f>
        <v>000005</v>
      </c>
      <c r="K11" s="6">
        <v>43579</v>
      </c>
      <c r="L11" s="7" t="str">
        <f>"000013"</f>
        <v>000013</v>
      </c>
      <c r="M11" s="6">
        <v>43582</v>
      </c>
      <c r="N11" s="7">
        <v>19</v>
      </c>
      <c r="O11" s="7" t="str">
        <f>"001225"</f>
        <v>001225</v>
      </c>
      <c r="P11" s="6">
        <v>43584</v>
      </c>
      <c r="Q11" s="9">
        <v>26.777239999999999</v>
      </c>
      <c r="R11" s="9">
        <v>1.1563600000000001</v>
      </c>
      <c r="S11" s="9">
        <v>25.62088</v>
      </c>
      <c r="T11" s="7">
        <v>34</v>
      </c>
      <c r="U11" s="6">
        <v>43588</v>
      </c>
      <c r="V11" s="7">
        <v>9845057449</v>
      </c>
      <c r="W11" s="8" t="s">
        <v>49</v>
      </c>
      <c r="X11" s="7" t="s">
        <v>50</v>
      </c>
      <c r="Y11" s="8" t="s">
        <v>51</v>
      </c>
      <c r="Z11" s="7" t="s">
        <v>53</v>
      </c>
      <c r="AA11" s="8" t="s">
        <v>54</v>
      </c>
      <c r="AB11" s="9">
        <f t="shared" si="0"/>
        <v>0.26777239999999997</v>
      </c>
    </row>
    <row r="12" spans="1:28" x14ac:dyDescent="0.35">
      <c r="A12" s="4">
        <v>5997</v>
      </c>
      <c r="B12" s="5" t="s">
        <v>32</v>
      </c>
      <c r="C12" s="6">
        <v>43601</v>
      </c>
      <c r="D12" s="7">
        <v>192</v>
      </c>
      <c r="E12" s="8" t="s">
        <v>55</v>
      </c>
      <c r="F12" s="7" t="s">
        <v>74</v>
      </c>
      <c r="G12" s="8" t="s">
        <v>75</v>
      </c>
      <c r="H12" s="7" t="str">
        <f>"000571"</f>
        <v>000571</v>
      </c>
      <c r="I12" s="6">
        <v>43186</v>
      </c>
      <c r="J12" s="7" t="str">
        <f>"000083"</f>
        <v>000083</v>
      </c>
      <c r="K12" s="6">
        <v>43421</v>
      </c>
      <c r="L12" s="7" t="str">
        <f>"000322"</f>
        <v>000322</v>
      </c>
      <c r="M12" s="6">
        <v>43434</v>
      </c>
      <c r="N12" s="7">
        <v>18</v>
      </c>
      <c r="O12" s="7" t="str">
        <f>"001453"</f>
        <v>001453</v>
      </c>
      <c r="P12" s="6">
        <v>43598</v>
      </c>
      <c r="Q12" s="9">
        <v>49.905000000000001</v>
      </c>
      <c r="R12" s="9">
        <v>6.9002600000000003</v>
      </c>
      <c r="S12" s="9">
        <v>43.004739999999998</v>
      </c>
      <c r="T12" s="7">
        <v>48</v>
      </c>
      <c r="U12" s="6">
        <v>43601</v>
      </c>
      <c r="V12" s="7">
        <v>9538858769</v>
      </c>
      <c r="W12" s="8" t="s">
        <v>44</v>
      </c>
      <c r="X12" s="7" t="s">
        <v>41</v>
      </c>
      <c r="Y12" s="8" t="s">
        <v>42</v>
      </c>
      <c r="Z12" s="7" t="s">
        <v>53</v>
      </c>
      <c r="AA12" s="8" t="s">
        <v>54</v>
      </c>
      <c r="AB12" s="9">
        <f t="shared" si="0"/>
        <v>0.49904999999999999</v>
      </c>
    </row>
    <row r="13" spans="1:28" x14ac:dyDescent="0.35">
      <c r="A13" s="4">
        <v>5998</v>
      </c>
      <c r="B13" s="5" t="s">
        <v>32</v>
      </c>
      <c r="C13" s="6">
        <v>43601</v>
      </c>
      <c r="D13" s="7">
        <v>192</v>
      </c>
      <c r="E13" s="8" t="s">
        <v>55</v>
      </c>
      <c r="F13" s="7" t="s">
        <v>76</v>
      </c>
      <c r="G13" s="8" t="s">
        <v>77</v>
      </c>
      <c r="H13" s="7" t="str">
        <f>"000569"</f>
        <v>000569</v>
      </c>
      <c r="I13" s="6">
        <v>43186</v>
      </c>
      <c r="J13" s="7" t="str">
        <f>"000093"</f>
        <v>000093</v>
      </c>
      <c r="K13" s="6">
        <v>43461</v>
      </c>
      <c r="L13" s="7" t="str">
        <f>"000344"</f>
        <v>000344</v>
      </c>
      <c r="M13" s="6">
        <v>43463</v>
      </c>
      <c r="N13" s="7">
        <v>18</v>
      </c>
      <c r="O13" s="7" t="str">
        <f>"001454"</f>
        <v>001454</v>
      </c>
      <c r="P13" s="6">
        <v>43598</v>
      </c>
      <c r="Q13" s="9">
        <v>49.964640000000003</v>
      </c>
      <c r="R13" s="9">
        <v>7.2262599999999999</v>
      </c>
      <c r="S13" s="9">
        <v>42.738379999999999</v>
      </c>
      <c r="T13" s="7">
        <v>48</v>
      </c>
      <c r="U13" s="6">
        <v>43601</v>
      </c>
      <c r="V13" s="7">
        <v>9538858769</v>
      </c>
      <c r="W13" s="8" t="s">
        <v>44</v>
      </c>
      <c r="X13" s="7" t="s">
        <v>41</v>
      </c>
      <c r="Y13" s="8" t="s">
        <v>42</v>
      </c>
      <c r="Z13" s="7" t="s">
        <v>53</v>
      </c>
      <c r="AA13" s="8" t="s">
        <v>54</v>
      </c>
      <c r="AB13" s="9">
        <f t="shared" si="0"/>
        <v>0.49964640000000005</v>
      </c>
    </row>
    <row r="14" spans="1:28" x14ac:dyDescent="0.35">
      <c r="A14" s="4">
        <v>5999</v>
      </c>
      <c r="B14" s="5" t="s">
        <v>32</v>
      </c>
      <c r="C14" s="6">
        <v>43615</v>
      </c>
      <c r="D14" s="7">
        <v>192</v>
      </c>
      <c r="E14" s="8" t="s">
        <v>55</v>
      </c>
      <c r="F14" s="7" t="s">
        <v>78</v>
      </c>
      <c r="G14" s="8" t="s">
        <v>79</v>
      </c>
      <c r="H14" s="7" t="str">
        <f>"000010"</f>
        <v>000010</v>
      </c>
      <c r="I14" s="6">
        <v>42992</v>
      </c>
      <c r="J14" s="7" t="str">
        <f>"000001"</f>
        <v>000001</v>
      </c>
      <c r="K14" s="6">
        <v>43036</v>
      </c>
      <c r="L14" s="7" t="str">
        <f>"000017"</f>
        <v>000017</v>
      </c>
      <c r="M14" s="6">
        <v>43066</v>
      </c>
      <c r="N14" s="7">
        <v>17</v>
      </c>
      <c r="O14" s="7" t="str">
        <f>"002171"</f>
        <v>002171</v>
      </c>
      <c r="P14" s="6">
        <v>43613</v>
      </c>
      <c r="Q14" s="9">
        <v>15.3497</v>
      </c>
      <c r="R14" s="9">
        <v>1.6442000000000001</v>
      </c>
      <c r="S14" s="9">
        <v>13.705500000000001</v>
      </c>
      <c r="T14" s="7">
        <v>65</v>
      </c>
      <c r="U14" s="6">
        <v>43615</v>
      </c>
      <c r="V14" s="7">
        <v>9342540302</v>
      </c>
      <c r="W14" s="8" t="s">
        <v>80</v>
      </c>
      <c r="X14" s="7" t="s">
        <v>30</v>
      </c>
      <c r="Y14" s="8" t="s">
        <v>31</v>
      </c>
      <c r="Z14" s="7" t="s">
        <v>53</v>
      </c>
      <c r="AA14" s="8" t="s">
        <v>54</v>
      </c>
      <c r="AB14" s="9">
        <f t="shared" si="0"/>
        <v>0.15349699999999999</v>
      </c>
    </row>
    <row r="15" spans="1:28" x14ac:dyDescent="0.35">
      <c r="A15" s="4">
        <v>6000</v>
      </c>
      <c r="B15" s="5" t="s">
        <v>29</v>
      </c>
      <c r="C15" s="6">
        <v>43628</v>
      </c>
      <c r="D15" s="7">
        <v>192</v>
      </c>
      <c r="E15" s="8" t="s">
        <v>55</v>
      </c>
      <c r="F15" s="7" t="s">
        <v>81</v>
      </c>
      <c r="G15" s="8" t="s">
        <v>82</v>
      </c>
      <c r="H15" s="7" t="str">
        <f>"000107"</f>
        <v>000107</v>
      </c>
      <c r="I15" s="6">
        <v>43365</v>
      </c>
      <c r="J15" s="7" t="str">
        <f>"000128"</f>
        <v>000128</v>
      </c>
      <c r="K15" s="6">
        <v>43552</v>
      </c>
      <c r="L15" s="7" t="str">
        <f>"000021"</f>
        <v>000021</v>
      </c>
      <c r="M15" s="6">
        <v>43584</v>
      </c>
      <c r="N15" s="7">
        <v>18</v>
      </c>
      <c r="O15" s="7" t="str">
        <f>"002504"</f>
        <v>002504</v>
      </c>
      <c r="P15" s="6">
        <v>43622</v>
      </c>
      <c r="Q15" s="9">
        <v>89.952839999999995</v>
      </c>
      <c r="R15" s="9">
        <v>11.95576</v>
      </c>
      <c r="S15" s="9">
        <v>77.997079999999997</v>
      </c>
      <c r="T15" s="7">
        <v>78</v>
      </c>
      <c r="U15" s="6">
        <v>43628</v>
      </c>
      <c r="V15" s="7">
        <v>9538858769</v>
      </c>
      <c r="W15" s="8" t="s">
        <v>44</v>
      </c>
      <c r="X15" s="7" t="s">
        <v>39</v>
      </c>
      <c r="Y15" s="8" t="s">
        <v>40</v>
      </c>
      <c r="Z15" s="7" t="s">
        <v>53</v>
      </c>
      <c r="AA15" s="8" t="s">
        <v>54</v>
      </c>
      <c r="AB15" s="9">
        <v>0.89952839999999989</v>
      </c>
    </row>
    <row r="16" spans="1:28" x14ac:dyDescent="0.35">
      <c r="A16" s="4">
        <v>6001</v>
      </c>
      <c r="B16" s="5" t="s">
        <v>29</v>
      </c>
      <c r="C16" s="6">
        <v>43634</v>
      </c>
      <c r="D16" s="7">
        <v>192</v>
      </c>
      <c r="E16" s="8" t="s">
        <v>55</v>
      </c>
      <c r="F16" s="7" t="s">
        <v>83</v>
      </c>
      <c r="G16" s="8" t="s">
        <v>84</v>
      </c>
      <c r="H16" s="7" t="str">
        <f>"000007"</f>
        <v>000007</v>
      </c>
      <c r="I16" s="6">
        <v>42990</v>
      </c>
      <c r="J16" s="7" t="str">
        <f>"000002"</f>
        <v>000002</v>
      </c>
      <c r="K16" s="6">
        <v>43047</v>
      </c>
      <c r="L16" s="7" t="str">
        <f>"000018"</f>
        <v>000018</v>
      </c>
      <c r="M16" s="6">
        <v>43066</v>
      </c>
      <c r="N16" s="7">
        <v>17</v>
      </c>
      <c r="O16" s="7" t="str">
        <f>"002668"</f>
        <v>002668</v>
      </c>
      <c r="P16" s="6">
        <v>43628</v>
      </c>
      <c r="Q16" s="9">
        <v>30.059899999999999</v>
      </c>
      <c r="R16" s="9">
        <v>3.6716000000000002</v>
      </c>
      <c r="S16" s="9">
        <v>26.388300000000001</v>
      </c>
      <c r="T16" s="7">
        <v>88</v>
      </c>
      <c r="U16" s="6">
        <v>43634</v>
      </c>
      <c r="V16" s="7">
        <v>9845019214</v>
      </c>
      <c r="W16" s="8" t="s">
        <v>85</v>
      </c>
      <c r="X16" s="7" t="s">
        <v>45</v>
      </c>
      <c r="Y16" s="8" t="s">
        <v>46</v>
      </c>
      <c r="Z16" s="7" t="s">
        <v>53</v>
      </c>
      <c r="AA16" s="8" t="s">
        <v>54</v>
      </c>
      <c r="AB16" s="9">
        <v>0.30059900000000001</v>
      </c>
    </row>
    <row r="17" spans="1:28" x14ac:dyDescent="0.35">
      <c r="A17" s="4">
        <v>6002</v>
      </c>
      <c r="B17" s="5" t="s">
        <v>29</v>
      </c>
      <c r="C17" s="6">
        <v>43634</v>
      </c>
      <c r="D17" s="7">
        <v>192</v>
      </c>
      <c r="E17" s="8" t="s">
        <v>55</v>
      </c>
      <c r="F17" s="7" t="s">
        <v>86</v>
      </c>
      <c r="G17" s="8" t="s">
        <v>87</v>
      </c>
      <c r="H17" s="7" t="str">
        <f>"000126"</f>
        <v>000126</v>
      </c>
      <c r="I17" s="6">
        <v>42894</v>
      </c>
      <c r="J17" s="7" t="str">
        <f>"000008"</f>
        <v>000008</v>
      </c>
      <c r="K17" s="6">
        <v>43073</v>
      </c>
      <c r="L17" s="7" t="str">
        <f>"000004"</f>
        <v>000004</v>
      </c>
      <c r="M17" s="6">
        <v>43098</v>
      </c>
      <c r="N17" s="7">
        <v>17</v>
      </c>
      <c r="O17" s="7" t="str">
        <f>"002669"</f>
        <v>002669</v>
      </c>
      <c r="P17" s="6">
        <v>43628</v>
      </c>
      <c r="Q17" s="9">
        <v>14.952500000000001</v>
      </c>
      <c r="R17" s="9">
        <v>1.8259000000000001</v>
      </c>
      <c r="S17" s="9">
        <v>13.1266</v>
      </c>
      <c r="T17" s="7">
        <v>88</v>
      </c>
      <c r="U17" s="6">
        <v>43634</v>
      </c>
      <c r="V17" s="7">
        <v>9845019214</v>
      </c>
      <c r="W17" s="8" t="s">
        <v>85</v>
      </c>
      <c r="X17" s="7" t="s">
        <v>30</v>
      </c>
      <c r="Y17" s="8" t="s">
        <v>31</v>
      </c>
      <c r="Z17" s="7" t="s">
        <v>53</v>
      </c>
      <c r="AA17" s="8" t="s">
        <v>54</v>
      </c>
      <c r="AB17" s="9">
        <v>0.14952500000000002</v>
      </c>
    </row>
    <row r="18" spans="1:28" x14ac:dyDescent="0.35">
      <c r="A18" s="4">
        <v>6003</v>
      </c>
      <c r="B18" s="5" t="s">
        <v>29</v>
      </c>
      <c r="C18" s="6">
        <v>43636</v>
      </c>
      <c r="D18" s="7">
        <v>192</v>
      </c>
      <c r="E18" s="8" t="s">
        <v>55</v>
      </c>
      <c r="F18" s="7" t="s">
        <v>88</v>
      </c>
      <c r="G18" s="8" t="s">
        <v>89</v>
      </c>
      <c r="H18" s="7" t="str">
        <f>"000066"</f>
        <v>000066</v>
      </c>
      <c r="I18" s="6">
        <v>43021</v>
      </c>
      <c r="J18" s="7" t="str">
        <f>"000009"</f>
        <v>000009</v>
      </c>
      <c r="K18" s="6">
        <v>43073</v>
      </c>
      <c r="L18" s="7" t="str">
        <f>"000006"</f>
        <v>000006</v>
      </c>
      <c r="M18" s="6">
        <v>43098</v>
      </c>
      <c r="N18" s="7">
        <v>17</v>
      </c>
      <c r="O18" s="7" t="str">
        <f>"002802"</f>
        <v>002802</v>
      </c>
      <c r="P18" s="6">
        <v>43633</v>
      </c>
      <c r="Q18" s="9">
        <v>17.161000000000001</v>
      </c>
      <c r="R18" s="9">
        <v>1.8835</v>
      </c>
      <c r="S18" s="9">
        <v>15.2775</v>
      </c>
      <c r="T18" s="7">
        <v>89</v>
      </c>
      <c r="U18" s="6">
        <v>43636</v>
      </c>
      <c r="V18" s="7">
        <v>9845019214</v>
      </c>
      <c r="W18" s="8" t="s">
        <v>90</v>
      </c>
      <c r="X18" s="7" t="s">
        <v>30</v>
      </c>
      <c r="Y18" s="8" t="s">
        <v>31</v>
      </c>
      <c r="Z18" s="7" t="s">
        <v>53</v>
      </c>
      <c r="AA18" s="8" t="s">
        <v>54</v>
      </c>
      <c r="AB18" s="9">
        <v>0.17161000000000001</v>
      </c>
    </row>
    <row r="19" spans="1:28" x14ac:dyDescent="0.35">
      <c r="A19" s="4">
        <v>6004</v>
      </c>
      <c r="B19" s="5" t="s">
        <v>29</v>
      </c>
      <c r="C19" s="6">
        <v>43637</v>
      </c>
      <c r="D19" s="7">
        <v>192</v>
      </c>
      <c r="E19" s="8" t="s">
        <v>55</v>
      </c>
      <c r="F19" s="7" t="s">
        <v>91</v>
      </c>
      <c r="G19" s="8" t="s">
        <v>92</v>
      </c>
      <c r="H19" s="7" t="str">
        <f>"000140"</f>
        <v>000140</v>
      </c>
      <c r="I19" s="6">
        <v>43465</v>
      </c>
      <c r="J19" s="7" t="str">
        <f>"000018"</f>
        <v>000018</v>
      </c>
      <c r="K19" s="6">
        <v>43589</v>
      </c>
      <c r="L19" s="7" t="str">
        <f>"000063"</f>
        <v>000063</v>
      </c>
      <c r="M19" s="6">
        <v>43613</v>
      </c>
      <c r="N19" s="7">
        <v>19</v>
      </c>
      <c r="O19" s="7" t="str">
        <f>""</f>
        <v/>
      </c>
      <c r="P19" s="6"/>
      <c r="Q19" s="9">
        <v>1752.68732</v>
      </c>
      <c r="R19" s="9">
        <v>86.831000000000003</v>
      </c>
      <c r="S19" s="9">
        <v>1665.8563200000001</v>
      </c>
      <c r="T19" s="7">
        <v>91</v>
      </c>
      <c r="U19" s="6">
        <v>43637</v>
      </c>
      <c r="V19" s="7">
        <v>9845222227</v>
      </c>
      <c r="W19" s="8" t="s">
        <v>93</v>
      </c>
      <c r="X19" s="7" t="s">
        <v>35</v>
      </c>
      <c r="Y19" s="8" t="s">
        <v>36</v>
      </c>
      <c r="Z19" s="7" t="s">
        <v>53</v>
      </c>
      <c r="AA19" s="8" t="s">
        <v>54</v>
      </c>
      <c r="AB19" s="9">
        <v>17.526873200000001</v>
      </c>
    </row>
    <row r="20" spans="1:28" x14ac:dyDescent="0.35">
      <c r="A20" s="4">
        <v>6005</v>
      </c>
      <c r="B20" s="5" t="s">
        <v>94</v>
      </c>
      <c r="C20" s="6">
        <v>43647</v>
      </c>
      <c r="D20" s="7">
        <v>192</v>
      </c>
      <c r="E20" s="8" t="s">
        <v>55</v>
      </c>
      <c r="F20" s="7" t="s">
        <v>95</v>
      </c>
      <c r="G20" s="10" t="s">
        <v>96</v>
      </c>
      <c r="H20" s="7" t="str">
        <f>"000574"</f>
        <v>000574</v>
      </c>
      <c r="I20" s="6">
        <v>43186</v>
      </c>
      <c r="J20" s="7" t="str">
        <f>"000001"</f>
        <v>000001</v>
      </c>
      <c r="K20" s="6">
        <v>43558</v>
      </c>
      <c r="L20" s="7" t="str">
        <f>"000022"</f>
        <v>000022</v>
      </c>
      <c r="M20" s="6">
        <v>43584</v>
      </c>
      <c r="N20" s="7">
        <v>18</v>
      </c>
      <c r="O20" s="7" t="str">
        <f>"002963"</f>
        <v>002963</v>
      </c>
      <c r="P20" s="6">
        <v>43640</v>
      </c>
      <c r="Q20" s="11">
        <v>49.983640000000001</v>
      </c>
      <c r="R20" s="11">
        <v>7.12704</v>
      </c>
      <c r="S20" s="11">
        <v>42.8566</v>
      </c>
      <c r="T20" s="7">
        <v>97</v>
      </c>
      <c r="U20" s="6">
        <v>43647</v>
      </c>
      <c r="V20" s="7">
        <v>9538858769</v>
      </c>
      <c r="W20" s="10" t="s">
        <v>44</v>
      </c>
      <c r="X20" s="7" t="s">
        <v>41</v>
      </c>
      <c r="Y20" s="10" t="s">
        <v>42</v>
      </c>
      <c r="Z20" s="7" t="s">
        <v>53</v>
      </c>
      <c r="AA20" s="10" t="s">
        <v>54</v>
      </c>
      <c r="AB20" s="11">
        <f t="shared" ref="AB20:AB36" si="1">Q20/100</f>
        <v>0.49983640000000001</v>
      </c>
    </row>
    <row r="21" spans="1:28" x14ac:dyDescent="0.35">
      <c r="A21" s="4">
        <v>6006</v>
      </c>
      <c r="B21" s="5" t="s">
        <v>94</v>
      </c>
      <c r="C21" s="6">
        <v>43654</v>
      </c>
      <c r="D21" s="7">
        <v>192</v>
      </c>
      <c r="E21" s="8" t="s">
        <v>55</v>
      </c>
      <c r="F21" s="7" t="s">
        <v>72</v>
      </c>
      <c r="G21" s="10" t="s">
        <v>73</v>
      </c>
      <c r="H21" s="7" t="str">
        <f>"000012"</f>
        <v>000012</v>
      </c>
      <c r="I21" s="6">
        <v>42931</v>
      </c>
      <c r="J21" s="7" t="str">
        <f>"000016"</f>
        <v>000016</v>
      </c>
      <c r="K21" s="6">
        <v>43630</v>
      </c>
      <c r="L21" s="7" t="str">
        <f>"000016"</f>
        <v>000016</v>
      </c>
      <c r="M21" s="6">
        <v>43633</v>
      </c>
      <c r="N21" s="7">
        <v>16</v>
      </c>
      <c r="O21" s="7" t="str">
        <f>"003381"</f>
        <v>003381</v>
      </c>
      <c r="P21" s="6">
        <v>43652</v>
      </c>
      <c r="Q21" s="11">
        <v>5.1681100000000004</v>
      </c>
      <c r="R21" s="11">
        <v>0.76415</v>
      </c>
      <c r="S21" s="11">
        <v>4.4039599999999997</v>
      </c>
      <c r="T21" s="7">
        <v>109</v>
      </c>
      <c r="U21" s="6">
        <v>43654</v>
      </c>
      <c r="V21" s="7">
        <v>9448522800</v>
      </c>
      <c r="W21" s="10" t="s">
        <v>52</v>
      </c>
      <c r="X21" s="7" t="s">
        <v>34</v>
      </c>
      <c r="Y21" s="10" t="s">
        <v>33</v>
      </c>
      <c r="Z21" s="7" t="s">
        <v>47</v>
      </c>
      <c r="AA21" s="10" t="s">
        <v>48</v>
      </c>
      <c r="AB21" s="11">
        <f t="shared" si="1"/>
        <v>5.1681100000000008E-2</v>
      </c>
    </row>
    <row r="22" spans="1:28" x14ac:dyDescent="0.35">
      <c r="A22" s="4">
        <v>6007</v>
      </c>
      <c r="B22" s="5" t="s">
        <v>94</v>
      </c>
      <c r="C22" s="6">
        <v>43658</v>
      </c>
      <c r="D22" s="7">
        <v>192</v>
      </c>
      <c r="E22" s="8" t="s">
        <v>55</v>
      </c>
      <c r="F22" s="7" t="s">
        <v>97</v>
      </c>
      <c r="G22" s="10" t="s">
        <v>98</v>
      </c>
      <c r="H22" s="7" t="str">
        <f>"000570"</f>
        <v>000570</v>
      </c>
      <c r="I22" s="6">
        <v>43186</v>
      </c>
      <c r="J22" s="7" t="str">
        <f>"000021"</f>
        <v>000021</v>
      </c>
      <c r="K22" s="6">
        <v>43615</v>
      </c>
      <c r="L22" s="7" t="str">
        <f>"000078"</f>
        <v>000078</v>
      </c>
      <c r="M22" s="6">
        <v>43616</v>
      </c>
      <c r="N22" s="7">
        <v>18</v>
      </c>
      <c r="O22" s="7" t="str">
        <f>"003343"</f>
        <v>003343</v>
      </c>
      <c r="P22" s="6">
        <v>43650</v>
      </c>
      <c r="Q22" s="11">
        <v>49.944960000000002</v>
      </c>
      <c r="R22" s="11">
        <v>7.1877800000000001</v>
      </c>
      <c r="S22" s="11">
        <v>42.757179999999998</v>
      </c>
      <c r="T22" s="7">
        <v>112</v>
      </c>
      <c r="U22" s="6">
        <v>43658</v>
      </c>
      <c r="V22" s="7">
        <v>9538858769</v>
      </c>
      <c r="W22" s="10" t="s">
        <v>44</v>
      </c>
      <c r="X22" s="7" t="s">
        <v>41</v>
      </c>
      <c r="Y22" s="10" t="s">
        <v>42</v>
      </c>
      <c r="Z22" s="7" t="s">
        <v>53</v>
      </c>
      <c r="AA22" s="10" t="s">
        <v>54</v>
      </c>
      <c r="AB22" s="11">
        <f t="shared" si="1"/>
        <v>0.49944959999999999</v>
      </c>
    </row>
    <row r="23" spans="1:28" x14ac:dyDescent="0.35">
      <c r="A23" s="4">
        <v>6008</v>
      </c>
      <c r="B23" s="5" t="s">
        <v>94</v>
      </c>
      <c r="C23" s="6">
        <v>43671</v>
      </c>
      <c r="D23" s="7">
        <v>192</v>
      </c>
      <c r="E23" s="8" t="s">
        <v>55</v>
      </c>
      <c r="F23" s="7" t="s">
        <v>99</v>
      </c>
      <c r="G23" s="10" t="s">
        <v>100</v>
      </c>
      <c r="H23" s="7" t="str">
        <f>"000087"</f>
        <v>000087</v>
      </c>
      <c r="I23" s="6">
        <v>43665</v>
      </c>
      <c r="J23" s="7" t="str">
        <f>"000030"</f>
        <v>000030</v>
      </c>
      <c r="K23" s="6">
        <v>43666</v>
      </c>
      <c r="L23" s="7" t="str">
        <f>"000112"</f>
        <v>000112</v>
      </c>
      <c r="M23" s="6">
        <v>43668</v>
      </c>
      <c r="N23" s="7">
        <v>20</v>
      </c>
      <c r="O23" s="7" t="str">
        <f>"003961"</f>
        <v>003961</v>
      </c>
      <c r="P23" s="6">
        <v>43670</v>
      </c>
      <c r="Q23" s="11">
        <v>74.220100000000002</v>
      </c>
      <c r="R23" s="11">
        <v>3.1210499999999999</v>
      </c>
      <c r="S23" s="11">
        <v>71.099050000000005</v>
      </c>
      <c r="T23" s="7">
        <v>126</v>
      </c>
      <c r="U23" s="6">
        <v>43671</v>
      </c>
      <c r="V23" s="7">
        <v>9845057449</v>
      </c>
      <c r="W23" s="10" t="s">
        <v>101</v>
      </c>
      <c r="X23" s="7" t="s">
        <v>50</v>
      </c>
      <c r="Y23" s="10" t="s">
        <v>51</v>
      </c>
      <c r="Z23" s="7" t="s">
        <v>53</v>
      </c>
      <c r="AA23" s="10" t="s">
        <v>54</v>
      </c>
      <c r="AB23" s="11">
        <f t="shared" si="1"/>
        <v>0.742201</v>
      </c>
    </row>
    <row r="24" spans="1:28" x14ac:dyDescent="0.35">
      <c r="A24" s="4">
        <v>6009</v>
      </c>
      <c r="B24" s="5" t="s">
        <v>94</v>
      </c>
      <c r="C24" s="6">
        <v>43672</v>
      </c>
      <c r="D24" s="7">
        <v>192</v>
      </c>
      <c r="E24" s="8" t="s">
        <v>55</v>
      </c>
      <c r="F24" s="7" t="s">
        <v>102</v>
      </c>
      <c r="G24" s="10" t="s">
        <v>103</v>
      </c>
      <c r="H24" s="7" t="str">
        <f>"000100"</f>
        <v>000100</v>
      </c>
      <c r="I24" s="6">
        <v>43060</v>
      </c>
      <c r="J24" s="7" t="str">
        <f>"000054"</f>
        <v>000054</v>
      </c>
      <c r="K24" s="6">
        <v>43343</v>
      </c>
      <c r="L24" s="7" t="str">
        <f>"000260"</f>
        <v>000260</v>
      </c>
      <c r="M24" s="6">
        <v>43372</v>
      </c>
      <c r="N24" s="7">
        <v>17</v>
      </c>
      <c r="O24" s="7" t="str">
        <f>"004049"</f>
        <v>004049</v>
      </c>
      <c r="P24" s="6">
        <v>43672</v>
      </c>
      <c r="Q24" s="11">
        <v>11.962999999999999</v>
      </c>
      <c r="R24" s="11">
        <v>1.006</v>
      </c>
      <c r="S24" s="11">
        <v>10.957000000000001</v>
      </c>
      <c r="T24" s="7">
        <v>128</v>
      </c>
      <c r="U24" s="6">
        <v>43672</v>
      </c>
      <c r="V24" s="7">
        <v>9980795596</v>
      </c>
      <c r="W24" s="10" t="s">
        <v>104</v>
      </c>
      <c r="X24" s="7" t="s">
        <v>105</v>
      </c>
      <c r="Y24" s="10" t="s">
        <v>106</v>
      </c>
      <c r="Z24" s="7" t="s">
        <v>53</v>
      </c>
      <c r="AA24" s="10" t="s">
        <v>54</v>
      </c>
      <c r="AB24" s="11">
        <f t="shared" si="1"/>
        <v>0.11962999999999999</v>
      </c>
    </row>
    <row r="25" spans="1:28" x14ac:dyDescent="0.35">
      <c r="A25" s="4">
        <v>6010</v>
      </c>
      <c r="B25" s="5" t="s">
        <v>94</v>
      </c>
      <c r="C25" s="6">
        <v>43675</v>
      </c>
      <c r="D25" s="7">
        <v>192</v>
      </c>
      <c r="E25" s="8" t="s">
        <v>55</v>
      </c>
      <c r="F25" s="7" t="s">
        <v>107</v>
      </c>
      <c r="G25" s="10" t="s">
        <v>108</v>
      </c>
      <c r="H25" s="7" t="str">
        <f>"000154"</f>
        <v>000154</v>
      </c>
      <c r="I25" s="6">
        <v>43493</v>
      </c>
      <c r="J25" s="7" t="str">
        <f>"000008"</f>
        <v>000008</v>
      </c>
      <c r="K25" s="6">
        <v>43583</v>
      </c>
      <c r="L25" s="7" t="str">
        <f>"000049"</f>
        <v>000049</v>
      </c>
      <c r="M25" s="6">
        <v>43589</v>
      </c>
      <c r="N25" s="7">
        <v>18</v>
      </c>
      <c r="O25" s="7" t="str">
        <f>"004026"</f>
        <v>004026</v>
      </c>
      <c r="P25" s="6">
        <v>43672</v>
      </c>
      <c r="Q25" s="11">
        <v>24.456099999999999</v>
      </c>
      <c r="R25" s="11">
        <v>2.9153799999999999</v>
      </c>
      <c r="S25" s="11">
        <v>21.54072</v>
      </c>
      <c r="T25" s="7">
        <v>133</v>
      </c>
      <c r="U25" s="6">
        <v>43675</v>
      </c>
      <c r="V25" s="7">
        <v>9611284153</v>
      </c>
      <c r="W25" s="10" t="s">
        <v>109</v>
      </c>
      <c r="X25" s="7" t="s">
        <v>110</v>
      </c>
      <c r="Y25" s="10" t="s">
        <v>111</v>
      </c>
      <c r="Z25" s="7" t="s">
        <v>53</v>
      </c>
      <c r="AA25" s="10" t="s">
        <v>54</v>
      </c>
      <c r="AB25" s="11">
        <f t="shared" si="1"/>
        <v>0.244561</v>
      </c>
    </row>
    <row r="26" spans="1:28" x14ac:dyDescent="0.35">
      <c r="A26" s="4">
        <v>6011</v>
      </c>
      <c r="B26" s="5" t="s">
        <v>94</v>
      </c>
      <c r="C26" s="6">
        <v>43677</v>
      </c>
      <c r="D26" s="7">
        <v>192</v>
      </c>
      <c r="E26" s="8" t="s">
        <v>55</v>
      </c>
      <c r="F26" s="7" t="s">
        <v>112</v>
      </c>
      <c r="G26" s="10" t="s">
        <v>113</v>
      </c>
      <c r="H26" s="7" t="str">
        <f>"000032"</f>
        <v>000032</v>
      </c>
      <c r="I26" s="6">
        <v>43250</v>
      </c>
      <c r="J26" s="7" t="str">
        <f>"000039"</f>
        <v>000039</v>
      </c>
      <c r="K26" s="6">
        <v>43301</v>
      </c>
      <c r="L26" s="7" t="str">
        <f>"000183"</f>
        <v>000183</v>
      </c>
      <c r="M26" s="6">
        <v>43308</v>
      </c>
      <c r="N26" s="7">
        <v>18</v>
      </c>
      <c r="O26" s="7" t="str">
        <f>"004096"</f>
        <v>004096</v>
      </c>
      <c r="P26" s="6">
        <v>43672</v>
      </c>
      <c r="Q26" s="11">
        <v>38.765999999999998</v>
      </c>
      <c r="R26" s="11">
        <v>4.367</v>
      </c>
      <c r="S26" s="11">
        <v>34.399000000000001</v>
      </c>
      <c r="T26" s="7">
        <v>136</v>
      </c>
      <c r="U26" s="6">
        <v>43677</v>
      </c>
      <c r="V26" s="7">
        <v>9900125654</v>
      </c>
      <c r="W26" s="10" t="s">
        <v>114</v>
      </c>
      <c r="X26" s="7" t="s">
        <v>110</v>
      </c>
      <c r="Y26" s="10" t="s">
        <v>111</v>
      </c>
      <c r="Z26" s="7" t="s">
        <v>53</v>
      </c>
      <c r="AA26" s="10" t="s">
        <v>54</v>
      </c>
      <c r="AB26" s="11">
        <f t="shared" si="1"/>
        <v>0.38766</v>
      </c>
    </row>
    <row r="27" spans="1:28" x14ac:dyDescent="0.35">
      <c r="A27" s="4">
        <v>6012</v>
      </c>
      <c r="B27" s="5" t="s">
        <v>115</v>
      </c>
      <c r="C27" s="6">
        <v>43686</v>
      </c>
      <c r="D27" s="7">
        <v>192</v>
      </c>
      <c r="E27" s="8" t="s">
        <v>55</v>
      </c>
      <c r="F27" s="7" t="s">
        <v>91</v>
      </c>
      <c r="G27" s="10" t="s">
        <v>116</v>
      </c>
      <c r="H27" s="7" t="str">
        <f>"000140"</f>
        <v>000140</v>
      </c>
      <c r="I27" s="6">
        <v>43465</v>
      </c>
      <c r="J27" s="7" t="str">
        <f>"000043"</f>
        <v>000043</v>
      </c>
      <c r="K27" s="6">
        <v>43682</v>
      </c>
      <c r="L27" s="7" t="str">
        <f>"000130"</f>
        <v>000130</v>
      </c>
      <c r="M27" s="6">
        <v>43686</v>
      </c>
      <c r="N27" s="7">
        <v>19</v>
      </c>
      <c r="O27" s="7" t="str">
        <f>"005098"</f>
        <v>005098</v>
      </c>
      <c r="P27" s="6">
        <v>43720</v>
      </c>
      <c r="Q27" s="11">
        <v>1793.8632</v>
      </c>
      <c r="R27" s="11">
        <v>93.704440000000005</v>
      </c>
      <c r="S27" s="11">
        <v>1700.15876</v>
      </c>
      <c r="T27" s="7">
        <v>150</v>
      </c>
      <c r="U27" s="6">
        <v>43686</v>
      </c>
      <c r="V27" s="7">
        <v>9845222227</v>
      </c>
      <c r="W27" s="10" t="s">
        <v>93</v>
      </c>
      <c r="X27" s="7" t="s">
        <v>35</v>
      </c>
      <c r="Y27" s="10" t="s">
        <v>36</v>
      </c>
      <c r="Z27" s="7" t="s">
        <v>53</v>
      </c>
      <c r="AA27" s="10" t="s">
        <v>54</v>
      </c>
      <c r="AB27" s="11">
        <f t="shared" si="1"/>
        <v>17.938631999999998</v>
      </c>
    </row>
    <row r="28" spans="1:28" x14ac:dyDescent="0.35">
      <c r="A28" s="4">
        <v>6013</v>
      </c>
      <c r="B28" s="5" t="s">
        <v>115</v>
      </c>
      <c r="C28" s="6">
        <v>43705</v>
      </c>
      <c r="D28" s="7">
        <v>192</v>
      </c>
      <c r="E28" s="8" t="s">
        <v>55</v>
      </c>
      <c r="F28" s="7" t="s">
        <v>117</v>
      </c>
      <c r="G28" s="10" t="s">
        <v>118</v>
      </c>
      <c r="H28" s="7" t="str">
        <f>"000017"</f>
        <v>000017</v>
      </c>
      <c r="I28" s="6">
        <v>43557</v>
      </c>
      <c r="J28" s="7" t="str">
        <f>"000154"</f>
        <v>000154</v>
      </c>
      <c r="K28" s="6">
        <v>43521</v>
      </c>
      <c r="L28" s="7" t="str">
        <f>"000154"</f>
        <v>000154</v>
      </c>
      <c r="M28" s="6">
        <v>43521</v>
      </c>
      <c r="N28" s="7">
        <v>11</v>
      </c>
      <c r="O28" s="7" t="str">
        <f>"004731"</f>
        <v>004731</v>
      </c>
      <c r="P28" s="6">
        <v>43699</v>
      </c>
      <c r="Q28" s="11">
        <v>25.57921</v>
      </c>
      <c r="R28" s="11">
        <v>1.3045199999999999</v>
      </c>
      <c r="S28" s="11">
        <v>24.27469</v>
      </c>
      <c r="T28" s="7">
        <v>169</v>
      </c>
      <c r="U28" s="6">
        <v>43705</v>
      </c>
      <c r="V28" s="7">
        <v>9632977771</v>
      </c>
      <c r="W28" s="10" t="s">
        <v>119</v>
      </c>
      <c r="X28" s="7" t="s">
        <v>120</v>
      </c>
      <c r="Y28" s="10" t="s">
        <v>121</v>
      </c>
      <c r="Z28" s="7" t="s">
        <v>122</v>
      </c>
      <c r="AA28" s="10" t="s">
        <v>123</v>
      </c>
      <c r="AB28" s="11">
        <f t="shared" si="1"/>
        <v>0.25579210000000002</v>
      </c>
    </row>
    <row r="29" spans="1:28" x14ac:dyDescent="0.35">
      <c r="A29" s="4">
        <v>6014</v>
      </c>
      <c r="B29" s="5" t="s">
        <v>115</v>
      </c>
      <c r="C29" s="6">
        <v>43707</v>
      </c>
      <c r="D29" s="7">
        <v>192</v>
      </c>
      <c r="E29" s="8" t="s">
        <v>55</v>
      </c>
      <c r="F29" s="7" t="s">
        <v>124</v>
      </c>
      <c r="G29" s="10" t="s">
        <v>125</v>
      </c>
      <c r="H29" s="7" t="str">
        <f>"000377"</f>
        <v>000377</v>
      </c>
      <c r="I29" s="6">
        <v>41334</v>
      </c>
      <c r="J29" s="7" t="str">
        <f>"000037"</f>
        <v>000037</v>
      </c>
      <c r="K29" s="6">
        <v>43172</v>
      </c>
      <c r="L29" s="7" t="str">
        <f>"000180"</f>
        <v>000180</v>
      </c>
      <c r="M29" s="6">
        <v>43190</v>
      </c>
      <c r="N29" s="7">
        <v>13</v>
      </c>
      <c r="O29" s="7" t="str">
        <f>"004560"</f>
        <v>004560</v>
      </c>
      <c r="P29" s="6">
        <v>43693</v>
      </c>
      <c r="Q29" s="11">
        <v>19.97</v>
      </c>
      <c r="R29" s="11">
        <v>2.3671500000000001</v>
      </c>
      <c r="S29" s="11">
        <v>17.60285</v>
      </c>
      <c r="T29" s="7">
        <v>173</v>
      </c>
      <c r="U29" s="6">
        <v>43707</v>
      </c>
      <c r="V29" s="7">
        <v>9342540302</v>
      </c>
      <c r="W29" s="10" t="s">
        <v>43</v>
      </c>
      <c r="X29" s="7" t="s">
        <v>68</v>
      </c>
      <c r="Y29" s="10" t="s">
        <v>69</v>
      </c>
      <c r="Z29" s="7" t="s">
        <v>53</v>
      </c>
      <c r="AA29" s="10" t="s">
        <v>54</v>
      </c>
      <c r="AB29" s="11">
        <f t="shared" si="1"/>
        <v>0.19969999999999999</v>
      </c>
    </row>
    <row r="30" spans="1:28" x14ac:dyDescent="0.35">
      <c r="A30" s="4">
        <v>6015</v>
      </c>
      <c r="B30" s="5" t="s">
        <v>126</v>
      </c>
      <c r="C30" s="6">
        <v>43720</v>
      </c>
      <c r="D30" s="7">
        <v>192</v>
      </c>
      <c r="E30" s="8" t="s">
        <v>55</v>
      </c>
      <c r="F30" s="7" t="s">
        <v>127</v>
      </c>
      <c r="G30" s="10" t="s">
        <v>128</v>
      </c>
      <c r="H30" s="7" t="str">
        <f>"000104"</f>
        <v>000104</v>
      </c>
      <c r="I30" s="6">
        <v>43362</v>
      </c>
      <c r="J30" s="7" t="str">
        <f>"000006"</f>
        <v>000006</v>
      </c>
      <c r="K30" s="6">
        <v>43583</v>
      </c>
      <c r="L30" s="7" t="str">
        <f>"000047"</f>
        <v>000047</v>
      </c>
      <c r="M30" s="6">
        <v>43589</v>
      </c>
      <c r="N30" s="7">
        <v>18</v>
      </c>
      <c r="O30" s="7" t="str">
        <f>"004888"</f>
        <v>004888</v>
      </c>
      <c r="P30" s="6">
        <v>43708</v>
      </c>
      <c r="Q30" s="11">
        <v>12.497719999999999</v>
      </c>
      <c r="R30" s="11">
        <v>1.5319</v>
      </c>
      <c r="S30" s="11">
        <v>10.965820000000001</v>
      </c>
      <c r="T30" s="7">
        <v>183</v>
      </c>
      <c r="U30" s="6">
        <v>43720</v>
      </c>
      <c r="V30" s="7">
        <v>9535445694</v>
      </c>
      <c r="W30" s="10" t="s">
        <v>129</v>
      </c>
      <c r="X30" s="7" t="s">
        <v>37</v>
      </c>
      <c r="Y30" s="10" t="s">
        <v>38</v>
      </c>
      <c r="Z30" s="7" t="s">
        <v>53</v>
      </c>
      <c r="AA30" s="10" t="s">
        <v>54</v>
      </c>
      <c r="AB30" s="11">
        <f t="shared" si="1"/>
        <v>0.1249772</v>
      </c>
    </row>
    <row r="31" spans="1:28" x14ac:dyDescent="0.35">
      <c r="A31" s="4">
        <v>6016</v>
      </c>
      <c r="B31" s="5" t="s">
        <v>126</v>
      </c>
      <c r="C31" s="6">
        <v>43720</v>
      </c>
      <c r="D31" s="7">
        <v>192</v>
      </c>
      <c r="E31" s="8" t="s">
        <v>55</v>
      </c>
      <c r="F31" s="7" t="s">
        <v>130</v>
      </c>
      <c r="G31" s="10" t="s">
        <v>131</v>
      </c>
      <c r="H31" s="7" t="str">
        <f>"000105"</f>
        <v>000105</v>
      </c>
      <c r="I31" s="6">
        <v>43362</v>
      </c>
      <c r="J31" s="7" t="str">
        <f>"000007"</f>
        <v>000007</v>
      </c>
      <c r="K31" s="6">
        <v>43583</v>
      </c>
      <c r="L31" s="7" t="str">
        <f>"000048"</f>
        <v>000048</v>
      </c>
      <c r="M31" s="6">
        <v>43589</v>
      </c>
      <c r="N31" s="7">
        <v>18</v>
      </c>
      <c r="O31" s="7" t="str">
        <f>"004889"</f>
        <v>004889</v>
      </c>
      <c r="P31" s="6">
        <v>43708</v>
      </c>
      <c r="Q31" s="11">
        <v>8.33</v>
      </c>
      <c r="R31" s="11">
        <v>0.99441000000000002</v>
      </c>
      <c r="S31" s="11">
        <v>7.3355899999999998</v>
      </c>
      <c r="T31" s="7">
        <v>183</v>
      </c>
      <c r="U31" s="6">
        <v>43720</v>
      </c>
      <c r="V31" s="7">
        <v>9535445694</v>
      </c>
      <c r="W31" s="10" t="s">
        <v>129</v>
      </c>
      <c r="X31" s="7" t="s">
        <v>37</v>
      </c>
      <c r="Y31" s="10" t="s">
        <v>38</v>
      </c>
      <c r="Z31" s="7" t="s">
        <v>53</v>
      </c>
      <c r="AA31" s="10" t="s">
        <v>54</v>
      </c>
      <c r="AB31" s="11">
        <f t="shared" si="1"/>
        <v>8.3299999999999999E-2</v>
      </c>
    </row>
    <row r="32" spans="1:28" x14ac:dyDescent="0.35">
      <c r="A32" s="4">
        <v>6017</v>
      </c>
      <c r="B32" s="5" t="s">
        <v>126</v>
      </c>
      <c r="C32" s="6">
        <v>43721</v>
      </c>
      <c r="D32" s="7">
        <v>192</v>
      </c>
      <c r="E32" s="8" t="s">
        <v>55</v>
      </c>
      <c r="F32" s="7" t="s">
        <v>91</v>
      </c>
      <c r="G32" s="10" t="s">
        <v>116</v>
      </c>
      <c r="H32" s="7" t="str">
        <f>"000140"</f>
        <v>000140</v>
      </c>
      <c r="I32" s="6">
        <v>43465</v>
      </c>
      <c r="J32" s="7" t="str">
        <f>"000043"</f>
        <v>000043</v>
      </c>
      <c r="K32" s="6">
        <v>43682</v>
      </c>
      <c r="L32" s="7" t="str">
        <f>"000130"</f>
        <v>000130</v>
      </c>
      <c r="M32" s="6">
        <v>43686</v>
      </c>
      <c r="N32" s="7">
        <v>19</v>
      </c>
      <c r="O32" s="7" t="str">
        <f>"005098"</f>
        <v>005098</v>
      </c>
      <c r="P32" s="6">
        <v>43720</v>
      </c>
      <c r="Q32" s="11">
        <v>36</v>
      </c>
      <c r="R32" s="11">
        <v>3.6</v>
      </c>
      <c r="S32" s="11">
        <v>32.4</v>
      </c>
      <c r="T32" s="7">
        <v>185</v>
      </c>
      <c r="U32" s="6">
        <v>43721</v>
      </c>
      <c r="V32" s="7">
        <v>9964339888</v>
      </c>
      <c r="W32" s="10" t="s">
        <v>132</v>
      </c>
      <c r="X32" s="7" t="s">
        <v>35</v>
      </c>
      <c r="Y32" s="10" t="s">
        <v>36</v>
      </c>
      <c r="Z32" s="7" t="s">
        <v>53</v>
      </c>
      <c r="AA32" s="10" t="s">
        <v>54</v>
      </c>
      <c r="AB32" s="11">
        <f t="shared" si="1"/>
        <v>0.36</v>
      </c>
    </row>
    <row r="33" spans="1:28" x14ac:dyDescent="0.35">
      <c r="A33" s="4">
        <v>6018</v>
      </c>
      <c r="B33" s="5" t="s">
        <v>126</v>
      </c>
      <c r="C33" s="6">
        <v>43721</v>
      </c>
      <c r="D33" s="7">
        <v>192</v>
      </c>
      <c r="E33" s="8" t="s">
        <v>55</v>
      </c>
      <c r="F33" s="7" t="s">
        <v>91</v>
      </c>
      <c r="G33" s="10" t="s">
        <v>116</v>
      </c>
      <c r="H33" s="7" t="str">
        <f>"000140"</f>
        <v>000140</v>
      </c>
      <c r="I33" s="6">
        <v>43465</v>
      </c>
      <c r="J33" s="7" t="str">
        <f>"000043"</f>
        <v>000043</v>
      </c>
      <c r="K33" s="6">
        <v>43682</v>
      </c>
      <c r="L33" s="7" t="str">
        <f>"000130"</f>
        <v>000130</v>
      </c>
      <c r="M33" s="6">
        <v>43686</v>
      </c>
      <c r="N33" s="7">
        <v>19</v>
      </c>
      <c r="O33" s="7" t="str">
        <f>"005098"</f>
        <v>005098</v>
      </c>
      <c r="P33" s="6">
        <v>43720</v>
      </c>
      <c r="Q33" s="11">
        <v>45</v>
      </c>
      <c r="R33" s="11">
        <v>4.5</v>
      </c>
      <c r="S33" s="11">
        <v>40.5</v>
      </c>
      <c r="T33" s="7">
        <v>185</v>
      </c>
      <c r="U33" s="6">
        <v>43721</v>
      </c>
      <c r="V33" s="7">
        <v>9964339888</v>
      </c>
      <c r="W33" s="10" t="s">
        <v>132</v>
      </c>
      <c r="X33" s="7" t="s">
        <v>35</v>
      </c>
      <c r="Y33" s="10" t="s">
        <v>36</v>
      </c>
      <c r="Z33" s="7" t="s">
        <v>53</v>
      </c>
      <c r="AA33" s="10" t="s">
        <v>54</v>
      </c>
      <c r="AB33" s="11">
        <f t="shared" si="1"/>
        <v>0.45</v>
      </c>
    </row>
    <row r="34" spans="1:28" x14ac:dyDescent="0.35">
      <c r="A34" s="4">
        <v>6019</v>
      </c>
      <c r="B34" s="5" t="s">
        <v>126</v>
      </c>
      <c r="C34" s="6">
        <v>43726</v>
      </c>
      <c r="D34" s="7">
        <v>192</v>
      </c>
      <c r="E34" s="8" t="s">
        <v>55</v>
      </c>
      <c r="F34" s="7" t="s">
        <v>133</v>
      </c>
      <c r="G34" s="10" t="s">
        <v>134</v>
      </c>
      <c r="H34" s="7" t="str">
        <f>"000079"</f>
        <v>000079</v>
      </c>
      <c r="I34" s="6">
        <v>43340</v>
      </c>
      <c r="J34" s="7" t="str">
        <f>"000114"</f>
        <v>000114</v>
      </c>
      <c r="K34" s="6">
        <v>43490</v>
      </c>
      <c r="L34" s="7" t="str">
        <f>"000423"</f>
        <v>000423</v>
      </c>
      <c r="M34" s="6">
        <v>43523</v>
      </c>
      <c r="N34" s="7">
        <v>18</v>
      </c>
      <c r="O34" s="7" t="str">
        <f>"005050"</f>
        <v>005050</v>
      </c>
      <c r="P34" s="6">
        <v>43720</v>
      </c>
      <c r="Q34" s="11">
        <v>4.97736</v>
      </c>
      <c r="R34" s="11">
        <v>0.71887999999999996</v>
      </c>
      <c r="S34" s="11">
        <v>4.2584799999999996</v>
      </c>
      <c r="T34" s="7">
        <v>191</v>
      </c>
      <c r="U34" s="6">
        <v>43726</v>
      </c>
      <c r="V34" s="7">
        <v>9538858769</v>
      </c>
      <c r="W34" s="10" t="s">
        <v>44</v>
      </c>
      <c r="X34" s="7" t="s">
        <v>135</v>
      </c>
      <c r="Y34" s="10" t="s">
        <v>136</v>
      </c>
      <c r="Z34" s="7" t="s">
        <v>53</v>
      </c>
      <c r="AA34" s="10" t="s">
        <v>54</v>
      </c>
      <c r="AB34" s="11">
        <f t="shared" si="1"/>
        <v>4.9773600000000001E-2</v>
      </c>
    </row>
    <row r="35" spans="1:28" x14ac:dyDescent="0.35">
      <c r="A35" s="4">
        <v>6020</v>
      </c>
      <c r="B35" s="5" t="s">
        <v>126</v>
      </c>
      <c r="C35" s="6">
        <v>43726</v>
      </c>
      <c r="D35" s="7">
        <v>192</v>
      </c>
      <c r="E35" s="8" t="s">
        <v>55</v>
      </c>
      <c r="F35" s="7" t="s">
        <v>137</v>
      </c>
      <c r="G35" s="10" t="s">
        <v>138</v>
      </c>
      <c r="H35" s="7" t="str">
        <f>"000082"</f>
        <v>000082</v>
      </c>
      <c r="I35" s="6">
        <v>43340</v>
      </c>
      <c r="J35" s="7" t="str">
        <f>"000115"</f>
        <v>000115</v>
      </c>
      <c r="K35" s="6">
        <v>43490</v>
      </c>
      <c r="L35" s="7" t="str">
        <f>"000422"</f>
        <v>000422</v>
      </c>
      <c r="M35" s="6">
        <v>43523</v>
      </c>
      <c r="N35" s="7">
        <v>18</v>
      </c>
      <c r="O35" s="7" t="str">
        <f>"005052"</f>
        <v>005052</v>
      </c>
      <c r="P35" s="6">
        <v>43720</v>
      </c>
      <c r="Q35" s="11">
        <v>14.99568</v>
      </c>
      <c r="R35" s="11">
        <v>2.0827800000000001</v>
      </c>
      <c r="S35" s="11">
        <v>12.9129</v>
      </c>
      <c r="T35" s="7">
        <v>191</v>
      </c>
      <c r="U35" s="6">
        <v>43726</v>
      </c>
      <c r="V35" s="7">
        <v>9538858769</v>
      </c>
      <c r="W35" s="10" t="s">
        <v>44</v>
      </c>
      <c r="X35" s="7" t="s">
        <v>39</v>
      </c>
      <c r="Y35" s="10" t="s">
        <v>40</v>
      </c>
      <c r="Z35" s="7" t="s">
        <v>53</v>
      </c>
      <c r="AA35" s="10" t="s">
        <v>54</v>
      </c>
      <c r="AB35" s="11">
        <f t="shared" si="1"/>
        <v>0.1499568</v>
      </c>
    </row>
    <row r="36" spans="1:28" x14ac:dyDescent="0.35">
      <c r="A36" s="4">
        <v>6021</v>
      </c>
      <c r="B36" s="5" t="s">
        <v>126</v>
      </c>
      <c r="C36" s="6">
        <v>43729</v>
      </c>
      <c r="D36" s="7">
        <v>192</v>
      </c>
      <c r="E36" s="8" t="s">
        <v>55</v>
      </c>
      <c r="F36" s="7" t="s">
        <v>139</v>
      </c>
      <c r="G36" s="10" t="s">
        <v>140</v>
      </c>
      <c r="H36" s="7" t="str">
        <f>"000105"</f>
        <v>000105</v>
      </c>
      <c r="I36" s="6">
        <v>42296</v>
      </c>
      <c r="J36" s="7" t="str">
        <f>"000029"</f>
        <v>000029</v>
      </c>
      <c r="K36" s="6">
        <v>42881</v>
      </c>
      <c r="L36" s="7" t="str">
        <f>"000066"</f>
        <v>000066</v>
      </c>
      <c r="M36" s="6">
        <v>42886</v>
      </c>
      <c r="N36" s="7">
        <v>15</v>
      </c>
      <c r="O36" s="7" t="str">
        <f>"005080"</f>
        <v>005080</v>
      </c>
      <c r="P36" s="6">
        <v>43720</v>
      </c>
      <c r="Q36" s="11">
        <v>15.433999999999999</v>
      </c>
      <c r="R36" s="11">
        <v>1.954</v>
      </c>
      <c r="S36" s="11">
        <v>13.48</v>
      </c>
      <c r="T36" s="7">
        <v>194</v>
      </c>
      <c r="U36" s="6">
        <v>43729</v>
      </c>
      <c r="V36" s="7">
        <v>1234567890</v>
      </c>
      <c r="W36" s="10" t="s">
        <v>141</v>
      </c>
      <c r="X36" s="7" t="s">
        <v>30</v>
      </c>
      <c r="Y36" s="10" t="s">
        <v>31</v>
      </c>
      <c r="Z36" s="7" t="s">
        <v>53</v>
      </c>
      <c r="AA36" s="10" t="s">
        <v>54</v>
      </c>
      <c r="AB36" s="11">
        <f t="shared" si="1"/>
        <v>0.15434</v>
      </c>
    </row>
    <row r="37" spans="1:28" x14ac:dyDescent="0.35">
      <c r="A37" s="4">
        <v>6022</v>
      </c>
      <c r="B37" s="5" t="s">
        <v>142</v>
      </c>
      <c r="C37" s="6">
        <v>43748</v>
      </c>
      <c r="D37" s="4">
        <v>192</v>
      </c>
      <c r="E37" s="8" t="s">
        <v>55</v>
      </c>
      <c r="F37" s="7" t="s">
        <v>143</v>
      </c>
      <c r="G37" s="8" t="s">
        <v>144</v>
      </c>
      <c r="H37" s="7" t="str">
        <f>"000024"</f>
        <v>000024</v>
      </c>
      <c r="I37" s="6">
        <v>43250</v>
      </c>
      <c r="J37" s="7" t="str">
        <f>"000051"</f>
        <v>000051</v>
      </c>
      <c r="K37" s="6">
        <v>43343</v>
      </c>
      <c r="L37" s="7" t="str">
        <f>"000220"</f>
        <v>000220</v>
      </c>
      <c r="M37" s="6">
        <v>43343</v>
      </c>
      <c r="N37" s="7">
        <v>18</v>
      </c>
      <c r="O37" s="7" t="str">
        <f>"005625"</f>
        <v>005625</v>
      </c>
      <c r="P37" s="6">
        <v>43741</v>
      </c>
      <c r="Q37" s="9">
        <v>40.988</v>
      </c>
      <c r="R37" s="9">
        <v>4.3655499999999998</v>
      </c>
      <c r="S37" s="9">
        <v>36.622450000000001</v>
      </c>
      <c r="T37" s="7">
        <v>13</v>
      </c>
      <c r="U37" s="6">
        <v>43748</v>
      </c>
      <c r="V37" s="7">
        <v>9980795596</v>
      </c>
      <c r="W37" s="8" t="s">
        <v>145</v>
      </c>
      <c r="X37" s="7" t="s">
        <v>146</v>
      </c>
      <c r="Y37" s="8" t="s">
        <v>147</v>
      </c>
      <c r="Z37" s="7" t="s">
        <v>53</v>
      </c>
      <c r="AA37" s="8" t="s">
        <v>54</v>
      </c>
      <c r="AB37" s="9">
        <v>0.40988000000000002</v>
      </c>
    </row>
    <row r="38" spans="1:28" x14ac:dyDescent="0.35">
      <c r="A38" s="4">
        <v>6023</v>
      </c>
      <c r="B38" s="5" t="s">
        <v>142</v>
      </c>
      <c r="C38" s="6">
        <v>43749</v>
      </c>
      <c r="D38" s="4">
        <v>192</v>
      </c>
      <c r="E38" s="8" t="s">
        <v>55</v>
      </c>
      <c r="F38" s="7" t="s">
        <v>148</v>
      </c>
      <c r="G38" s="8" t="s">
        <v>149</v>
      </c>
      <c r="H38" s="7" t="str">
        <f>"000575"</f>
        <v>000575</v>
      </c>
      <c r="I38" s="6">
        <v>43186</v>
      </c>
      <c r="J38" s="7" t="str">
        <f>"000050"</f>
        <v>000050</v>
      </c>
      <c r="K38" s="6">
        <v>43721</v>
      </c>
      <c r="L38" s="7" t="str">
        <f>"000168"</f>
        <v>000168</v>
      </c>
      <c r="M38" s="6">
        <v>43725</v>
      </c>
      <c r="N38" s="7">
        <v>18</v>
      </c>
      <c r="O38" s="7" t="str">
        <f>"005702"</f>
        <v>005702</v>
      </c>
      <c r="P38" s="6">
        <v>43748</v>
      </c>
      <c r="Q38" s="9">
        <v>49.948120000000003</v>
      </c>
      <c r="R38" s="9">
        <v>6.9980599999999997</v>
      </c>
      <c r="S38" s="9">
        <v>42.950060000000001</v>
      </c>
      <c r="T38" s="7">
        <v>13</v>
      </c>
      <c r="U38" s="6">
        <v>43749</v>
      </c>
      <c r="V38" s="7">
        <v>9538858769</v>
      </c>
      <c r="W38" s="8" t="s">
        <v>44</v>
      </c>
      <c r="X38" s="7" t="s">
        <v>41</v>
      </c>
      <c r="Y38" s="8" t="s">
        <v>42</v>
      </c>
      <c r="Z38" s="7" t="s">
        <v>53</v>
      </c>
      <c r="AA38" s="8" t="s">
        <v>54</v>
      </c>
      <c r="AB38" s="9">
        <v>0.49948120000000001</v>
      </c>
    </row>
    <row r="39" spans="1:28" x14ac:dyDescent="0.35">
      <c r="A39" s="4">
        <v>6024</v>
      </c>
      <c r="B39" s="5" t="s">
        <v>142</v>
      </c>
      <c r="C39" s="6">
        <v>43749</v>
      </c>
      <c r="D39" s="4">
        <v>192</v>
      </c>
      <c r="E39" s="8" t="s">
        <v>55</v>
      </c>
      <c r="F39" s="7" t="s">
        <v>150</v>
      </c>
      <c r="G39" s="8" t="s">
        <v>151</v>
      </c>
      <c r="H39" s="7" t="str">
        <f>"000085"</f>
        <v>000085</v>
      </c>
      <c r="I39" s="6">
        <v>43472</v>
      </c>
      <c r="J39" s="7" t="str">
        <f>"000024"</f>
        <v>000024</v>
      </c>
      <c r="K39" s="6">
        <v>43650</v>
      </c>
      <c r="L39" s="7" t="str">
        <f>"000023"</f>
        <v>000023</v>
      </c>
      <c r="M39" s="6">
        <v>43650</v>
      </c>
      <c r="N39" s="7">
        <v>18</v>
      </c>
      <c r="O39" s="7" t="str">
        <f>"005706"</f>
        <v>005706</v>
      </c>
      <c r="P39" s="6">
        <v>43748</v>
      </c>
      <c r="Q39" s="9">
        <v>24.989560000000001</v>
      </c>
      <c r="R39" s="9">
        <v>3.2426499999999998</v>
      </c>
      <c r="S39" s="9">
        <v>21.74691</v>
      </c>
      <c r="T39" s="7">
        <v>13</v>
      </c>
      <c r="U39" s="6">
        <v>43749</v>
      </c>
      <c r="V39" s="7">
        <v>9945510720</v>
      </c>
      <c r="W39" s="8" t="s">
        <v>152</v>
      </c>
      <c r="X39" s="7" t="s">
        <v>41</v>
      </c>
      <c r="Y39" s="8" t="s">
        <v>42</v>
      </c>
      <c r="Z39" s="7" t="s">
        <v>47</v>
      </c>
      <c r="AA39" s="8" t="s">
        <v>48</v>
      </c>
      <c r="AB39" s="9">
        <v>0.2498956</v>
      </c>
    </row>
    <row r="40" spans="1:28" x14ac:dyDescent="0.35">
      <c r="A40" s="4">
        <v>6025</v>
      </c>
      <c r="B40" s="5" t="s">
        <v>142</v>
      </c>
      <c r="C40" s="6">
        <v>43749</v>
      </c>
      <c r="D40" s="4">
        <v>192</v>
      </c>
      <c r="E40" s="8" t="s">
        <v>55</v>
      </c>
      <c r="F40" s="7" t="s">
        <v>153</v>
      </c>
      <c r="G40" s="8" t="s">
        <v>154</v>
      </c>
      <c r="H40" s="7" t="str">
        <f>"000084"</f>
        <v>000084</v>
      </c>
      <c r="I40" s="6">
        <v>43472</v>
      </c>
      <c r="J40" s="7" t="str">
        <f>"000026"</f>
        <v>000026</v>
      </c>
      <c r="K40" s="6">
        <v>43650</v>
      </c>
      <c r="L40" s="7" t="str">
        <f>"000025"</f>
        <v>000025</v>
      </c>
      <c r="M40" s="6">
        <v>43650</v>
      </c>
      <c r="N40" s="7">
        <v>18</v>
      </c>
      <c r="O40" s="7" t="str">
        <f>"005707"</f>
        <v>005707</v>
      </c>
      <c r="P40" s="6">
        <v>43748</v>
      </c>
      <c r="Q40" s="9">
        <v>24.888249999999999</v>
      </c>
      <c r="R40" s="9">
        <v>3.2296999999999998</v>
      </c>
      <c r="S40" s="9">
        <v>21.658550000000002</v>
      </c>
      <c r="T40" s="7">
        <v>13</v>
      </c>
      <c r="U40" s="6">
        <v>43749</v>
      </c>
      <c r="V40" s="7">
        <v>9945510720</v>
      </c>
      <c r="W40" s="8" t="s">
        <v>152</v>
      </c>
      <c r="X40" s="7" t="s">
        <v>41</v>
      </c>
      <c r="Y40" s="8" t="s">
        <v>42</v>
      </c>
      <c r="Z40" s="7" t="s">
        <v>47</v>
      </c>
      <c r="AA40" s="8" t="s">
        <v>48</v>
      </c>
      <c r="AB40" s="9">
        <v>0.24888250000000001</v>
      </c>
    </row>
    <row r="41" spans="1:28" x14ac:dyDescent="0.35">
      <c r="A41" s="4">
        <v>6026</v>
      </c>
      <c r="B41" s="5" t="s">
        <v>142</v>
      </c>
      <c r="C41" s="6">
        <v>43768</v>
      </c>
      <c r="D41" s="4">
        <v>192</v>
      </c>
      <c r="E41" s="8" t="s">
        <v>55</v>
      </c>
      <c r="F41" s="7" t="s">
        <v>155</v>
      </c>
      <c r="G41" s="8" t="s">
        <v>156</v>
      </c>
      <c r="H41" s="7" t="str">
        <f>"000080"</f>
        <v>000080</v>
      </c>
      <c r="I41" s="6">
        <v>43340</v>
      </c>
      <c r="J41" s="7" t="str">
        <f>"000111"</f>
        <v>000111</v>
      </c>
      <c r="K41" s="6">
        <v>43488</v>
      </c>
      <c r="L41" s="7" t="str">
        <f>"000420"</f>
        <v>000420</v>
      </c>
      <c r="M41" s="6">
        <v>43523</v>
      </c>
      <c r="N41" s="7">
        <v>18</v>
      </c>
      <c r="O41" s="7" t="str">
        <f>"005967"</f>
        <v>005967</v>
      </c>
      <c r="P41" s="6">
        <v>43763</v>
      </c>
      <c r="Q41" s="9">
        <v>19.989989999999999</v>
      </c>
      <c r="R41" s="9">
        <v>2.47621</v>
      </c>
      <c r="S41" s="9">
        <v>17.513780000000001</v>
      </c>
      <c r="T41" s="7">
        <v>13</v>
      </c>
      <c r="U41" s="6">
        <v>43768</v>
      </c>
      <c r="V41" s="7">
        <v>9538858769</v>
      </c>
      <c r="W41" s="8" t="s">
        <v>44</v>
      </c>
      <c r="X41" s="7" t="s">
        <v>157</v>
      </c>
      <c r="Y41" s="8" t="s">
        <v>158</v>
      </c>
      <c r="Z41" s="7" t="s">
        <v>53</v>
      </c>
      <c r="AA41" s="8" t="s">
        <v>54</v>
      </c>
      <c r="AB41" s="9">
        <v>0.19989989999999999</v>
      </c>
    </row>
    <row r="42" spans="1:28" x14ac:dyDescent="0.35">
      <c r="A42" s="4">
        <v>6027</v>
      </c>
      <c r="B42" s="5" t="s">
        <v>142</v>
      </c>
      <c r="C42" s="6">
        <v>43768</v>
      </c>
      <c r="D42" s="4">
        <v>192</v>
      </c>
      <c r="E42" s="8" t="s">
        <v>55</v>
      </c>
      <c r="F42" s="7" t="s">
        <v>159</v>
      </c>
      <c r="G42" s="8" t="s">
        <v>160</v>
      </c>
      <c r="H42" s="7" t="str">
        <f>"000049"</f>
        <v>000049</v>
      </c>
      <c r="I42" s="6">
        <v>42916</v>
      </c>
      <c r="J42" s="7" t="str">
        <f>"000023"</f>
        <v>000023</v>
      </c>
      <c r="K42" s="6">
        <v>43719</v>
      </c>
      <c r="L42" s="7" t="str">
        <f>"000023"</f>
        <v>000023</v>
      </c>
      <c r="M42" s="6">
        <v>43719</v>
      </c>
      <c r="N42" s="7">
        <v>17</v>
      </c>
      <c r="O42" s="7" t="str">
        <f>"005972"</f>
        <v>005972</v>
      </c>
      <c r="P42" s="6">
        <v>43763</v>
      </c>
      <c r="Q42" s="9">
        <v>12.05742</v>
      </c>
      <c r="R42" s="9">
        <v>1.0837000000000001</v>
      </c>
      <c r="S42" s="9">
        <v>10.97372</v>
      </c>
      <c r="T42" s="7">
        <v>13</v>
      </c>
      <c r="U42" s="6">
        <v>43768</v>
      </c>
      <c r="V42" s="7">
        <v>9999999999</v>
      </c>
      <c r="W42" s="8" t="s">
        <v>43</v>
      </c>
      <c r="X42" s="7" t="s">
        <v>105</v>
      </c>
      <c r="Y42" s="8" t="s">
        <v>106</v>
      </c>
      <c r="Z42" s="7" t="s">
        <v>161</v>
      </c>
      <c r="AA42" s="8" t="s">
        <v>162</v>
      </c>
      <c r="AB42" s="9">
        <v>0.12057420000000001</v>
      </c>
    </row>
    <row r="43" spans="1:28" x14ac:dyDescent="0.35">
      <c r="A43" s="4">
        <v>6028</v>
      </c>
      <c r="B43" s="5" t="s">
        <v>163</v>
      </c>
      <c r="C43" s="6">
        <v>43809</v>
      </c>
      <c r="D43" s="4">
        <v>192</v>
      </c>
      <c r="E43" s="8" t="s">
        <v>55</v>
      </c>
      <c r="F43" s="7" t="s">
        <v>164</v>
      </c>
      <c r="G43" s="8" t="s">
        <v>165</v>
      </c>
      <c r="H43" s="7" t="str">
        <f>"00015A"</f>
        <v>00015A</v>
      </c>
      <c r="I43" s="6">
        <v>42836</v>
      </c>
      <c r="J43" s="7" t="str">
        <f>"000072"</f>
        <v>000072</v>
      </c>
      <c r="K43" s="6">
        <v>43363</v>
      </c>
      <c r="L43" s="7" t="str">
        <f>"000261"</f>
        <v>000261</v>
      </c>
      <c r="M43" s="6">
        <v>43372</v>
      </c>
      <c r="N43" s="7">
        <v>17</v>
      </c>
      <c r="O43" s="7" t="str">
        <f>"006624"</f>
        <v>006624</v>
      </c>
      <c r="P43" s="6">
        <v>43803</v>
      </c>
      <c r="Q43" s="9">
        <v>14.901</v>
      </c>
      <c r="R43" s="9">
        <v>1.5381</v>
      </c>
      <c r="S43" s="9">
        <v>13.3629</v>
      </c>
      <c r="T43" s="7">
        <v>13</v>
      </c>
      <c r="U43" s="6">
        <v>43809</v>
      </c>
      <c r="V43" s="7">
        <v>9980795596</v>
      </c>
      <c r="W43" s="8" t="s">
        <v>166</v>
      </c>
      <c r="X43" s="7" t="s">
        <v>146</v>
      </c>
      <c r="Y43" s="8" t="s">
        <v>147</v>
      </c>
      <c r="Z43" s="7" t="s">
        <v>53</v>
      </c>
      <c r="AA43" s="8" t="s">
        <v>54</v>
      </c>
      <c r="AB43" s="9">
        <v>0.14901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2020-01-30T07:07:56Z</dcterms:modified>
</cp:coreProperties>
</file>