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1" i="1" l="1"/>
  <c r="L51" i="1"/>
  <c r="J51" i="1"/>
  <c r="H51" i="1"/>
  <c r="O50" i="1"/>
  <c r="L50" i="1"/>
  <c r="J50" i="1"/>
  <c r="H50" i="1"/>
  <c r="O49" i="1"/>
  <c r="L49" i="1"/>
  <c r="J49" i="1"/>
  <c r="H49" i="1"/>
  <c r="O48" i="1"/>
  <c r="L48" i="1"/>
  <c r="J48" i="1"/>
  <c r="H48" i="1"/>
  <c r="O47" i="1"/>
  <c r="L47" i="1"/>
  <c r="J47" i="1"/>
  <c r="H47" i="1"/>
  <c r="O46" i="1"/>
  <c r="L46" i="1"/>
  <c r="J46" i="1"/>
  <c r="H46" i="1"/>
  <c r="O45" i="1"/>
  <c r="L45" i="1"/>
  <c r="J45" i="1"/>
  <c r="H45" i="1"/>
  <c r="O44" i="1"/>
  <c r="L44" i="1"/>
  <c r="J44" i="1"/>
  <c r="H44" i="1"/>
  <c r="O43" i="1"/>
  <c r="L43" i="1"/>
  <c r="J43" i="1"/>
  <c r="H43" i="1"/>
  <c r="O42" i="1"/>
  <c r="L42" i="1"/>
  <c r="J42" i="1"/>
  <c r="H42" i="1"/>
  <c r="O41" i="1"/>
  <c r="L41" i="1"/>
  <c r="J41" i="1"/>
  <c r="H41" i="1"/>
  <c r="O40" i="1"/>
  <c r="L40" i="1"/>
  <c r="J40" i="1"/>
  <c r="H40" i="1"/>
  <c r="O39" i="1"/>
  <c r="L39" i="1"/>
  <c r="J39" i="1"/>
  <c r="H39" i="1"/>
  <c r="O38" i="1"/>
  <c r="L38" i="1"/>
  <c r="J38" i="1"/>
  <c r="H38" i="1"/>
  <c r="AB37" i="1"/>
  <c r="O37" i="1"/>
  <c r="L37" i="1"/>
  <c r="J37" i="1"/>
  <c r="H37" i="1"/>
  <c r="AB36" i="1"/>
  <c r="O36" i="1"/>
  <c r="L36" i="1"/>
  <c r="J36" i="1"/>
  <c r="H36" i="1"/>
  <c r="AB35" i="1"/>
  <c r="O35" i="1"/>
  <c r="L35" i="1"/>
  <c r="J35" i="1"/>
  <c r="H35" i="1"/>
  <c r="AB34" i="1"/>
  <c r="O34" i="1"/>
  <c r="L34" i="1"/>
  <c r="J34" i="1"/>
  <c r="H34" i="1"/>
  <c r="AB33" i="1"/>
  <c r="O33" i="1"/>
  <c r="L33" i="1"/>
  <c r="J33" i="1"/>
  <c r="H33" i="1"/>
  <c r="AB32" i="1"/>
  <c r="O32" i="1"/>
  <c r="L32" i="1"/>
  <c r="J32" i="1"/>
  <c r="H32" i="1"/>
  <c r="AB31" i="1"/>
  <c r="O31" i="1"/>
  <c r="L31" i="1"/>
  <c r="J31" i="1"/>
  <c r="H31" i="1"/>
  <c r="AB30" i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<sst xmlns="http://schemas.openxmlformats.org/spreadsheetml/2006/main" count="478" uniqueCount="178">
  <si>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</si>
  <si>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</si>
  <si>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</si>
  <si>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</si>
  <si>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</si>
  <si>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</si>
  <si>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</si>
  <si>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</si>
  <si>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</si>
  <si>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</si>
  <si>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</si>
  <si>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</si>
  <si>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</si>
  <si>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</si>
  <si>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</si>
  <si>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</si>
  <si>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</si>
  <si>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</si>
  <si>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</si>
  <si>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</si>
  <si>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</si>
  <si>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</si>
  <si>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</si>
  <si>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</si>
  <si>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</si>
  <si>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</si>
  <si>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</si>
  <si>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</si>
  <si>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</si>
  <si>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June</t>
  </si>
  <si>
    <t>P1771</t>
  </si>
  <si>
    <t>Zone Works - POW Works</t>
  </si>
  <si>
    <t>May</t>
  </si>
  <si>
    <t>M and R to Street Lights - Replacement of Burnt Bulbs etc. (Package)</t>
  </si>
  <si>
    <t>P0300</t>
  </si>
  <si>
    <t>P3110</t>
  </si>
  <si>
    <t>14th Finance Commission Grant Works</t>
  </si>
  <si>
    <t>P1878</t>
  </si>
  <si>
    <t>18per - Works (Bhagyajyothi, Sooru / Neeru Yojane and General) (54 Lakhs / New Wards)</t>
  </si>
  <si>
    <t>KRIDL</t>
  </si>
  <si>
    <t>P2178</t>
  </si>
  <si>
    <t>Works sanctioned by Dy. Mayor</t>
  </si>
  <si>
    <t>ddo439</t>
  </si>
  <si>
    <t xml:space="preserve"> Executive Engineer Electrical Division Bomanahalli Zone</t>
  </si>
  <si>
    <t>P0311</t>
  </si>
  <si>
    <t>Landscape Development Of Parks/Medians/Boulevants and Circles(Janoodya Works)</t>
  </si>
  <si>
    <t>M Ramesh</t>
  </si>
  <si>
    <t>P0613</t>
  </si>
  <si>
    <t>Redoing of Road cut Portions (Deposit Contributions)</t>
  </si>
  <si>
    <t>ddo438</t>
  </si>
  <si>
    <t xml:space="preserve"> Executive Engineer Project Division Bomanahalli Zone</t>
  </si>
  <si>
    <t>KRIDl</t>
  </si>
  <si>
    <t>M/s Sree Sreekanteswara Electricals</t>
  </si>
  <si>
    <t>ddo444</t>
  </si>
  <si>
    <t xml:space="preserve"> Assistant Executive Engineer Anjanapura  sub Division Bomanahalli Zone</t>
  </si>
  <si>
    <t>Anjanapura</t>
  </si>
  <si>
    <t>196-17-000046</t>
  </si>
  <si>
    <t>Providing path way to kembatahalli High-tension park anjanapura at ward no 196</t>
  </si>
  <si>
    <t>196-17-000047</t>
  </si>
  <si>
    <t>Providing path way to anjanapura park at ward no 196</t>
  </si>
  <si>
    <t>196-17-000042</t>
  </si>
  <si>
    <t>Providing children equipments to royal park at anjanapura ward no 196</t>
  </si>
  <si>
    <t>196-16-000001</t>
  </si>
  <si>
    <t xml:space="preserve"> Annual Operation and Maintenance of street lighting system in ward no-196 Package B13 of Bommanahalli zone.</t>
  </si>
  <si>
    <t>196-16-000007</t>
  </si>
  <si>
    <t>Providing UGD in Anjanapura from circle to Kembathalli Road in ward no 196</t>
  </si>
  <si>
    <t>venkataraju</t>
  </si>
  <si>
    <t>196-17-000034</t>
  </si>
  <si>
    <t>Desilting of drains at Bhaskar layout surrounding area at Anjanapura ward limits in ward no 196</t>
  </si>
  <si>
    <t>196-17-000033</t>
  </si>
  <si>
    <t>Desilting of drains at Avalahalli surrounding area at Anjanapura in ward no 196</t>
  </si>
  <si>
    <t>196-17-000053</t>
  </si>
  <si>
    <t>Maintenance of Borewells at Avalahalli and BDA Quarters in ward no 196</t>
  </si>
  <si>
    <t>K J Raju</t>
  </si>
  <si>
    <t>196-17-000051</t>
  </si>
  <si>
    <t>Maintenance of Borewells at Gollahalli and Gollahalli Colony in ward no 196</t>
  </si>
  <si>
    <t>196-17-000050</t>
  </si>
  <si>
    <t>Maintenance of Borewells at Kembathalli and Elethotadapalya in ward no 196</t>
  </si>
  <si>
    <t>Arun Kumar C</t>
  </si>
  <si>
    <t>196-16-000058</t>
  </si>
  <si>
    <t>Improvements of drains at Avalahalli BDA Quarters in ward no 196</t>
  </si>
  <si>
    <t>Shashikumar H S</t>
  </si>
  <si>
    <t>P3071</t>
  </si>
  <si>
    <t>Development of Backward regions of Muncipal area under BBMP limits</t>
  </si>
  <si>
    <t>196-19-000046</t>
  </si>
  <si>
    <t>Improvements to Roads and Drains Thippasandra main road to Ganganna House in Ward No 196 Anjanapura</t>
  </si>
  <si>
    <t>M/s KRIDl</t>
  </si>
  <si>
    <t>196-17-000105</t>
  </si>
  <si>
    <t>Providing Modren Dust Bin in Bangalore City in ward no  196</t>
  </si>
  <si>
    <t>Chikkaraju K R</t>
  </si>
  <si>
    <t xml:space="preserve"> Annual Operation and Maintenance of street lighting system in ward no-196  Package B13 of Bommanahalli zone.</t>
  </si>
  <si>
    <t>196-19-000120</t>
  </si>
  <si>
    <t>Restoration of  Road cut portion done by BWSSB -BESCOM-KPTCL in 196 in Bengaluru South Division roads under BBMP Limits Phase-1</t>
  </si>
  <si>
    <t>196-17-000061</t>
  </si>
  <si>
    <t>Improvements of Roads and drains at Muneshwaranagara 2nd Block 1st, 2nd and 3rd Cross in ward no 196</t>
  </si>
  <si>
    <t>C Ramamurthy</t>
  </si>
  <si>
    <t>July</t>
  </si>
  <si>
    <t>196-17-000106</t>
  </si>
  <si>
    <t>Development of park at Avalahalli Hightension park at Anjanapura ward no 196</t>
  </si>
  <si>
    <t>P2415</t>
  </si>
  <si>
    <t>Reserve fund for TandF Committee</t>
  </si>
  <si>
    <t>196-17-000014</t>
  </si>
  <si>
    <t>Desilting drains in Harinagar Muneshwaranagar Adityanagar and Bhaskar layout surrounding area at Anjanapura in ward no 196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</si>
  <si>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</si>
  <si>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</si>
  <si>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 xml:space="preserve"> Assistant Executive Engineer Anjanapura sub Division Bomanahalli Zone</t>
  </si>
  <si>
    <t>196-17-000081</t>
  </si>
  <si>
    <t>Construction of chain link fencing at Kembathalli Hightention park in ward no 196 Anjanapura</t>
  </si>
  <si>
    <t>M/s KRIDL</t>
  </si>
  <si>
    <t>196-17-000089</t>
  </si>
  <si>
    <t>Construction of chain link fencing at Anjaneya Swamy Temple at bbmp property of ward no 196 Anjanapura</t>
  </si>
  <si>
    <t>196-17-000088</t>
  </si>
  <si>
    <t>Chain link fencing at Kembathalli 10 and 11 blocks Parks at Anjanapura ward no 196</t>
  </si>
  <si>
    <t>196-19-000048</t>
  </si>
  <si>
    <t>Improvements to CC roads and drains from Ravi House to Babu house cross roads and Main roads in Harinagara Ward No 196 Anjanapura</t>
  </si>
  <si>
    <t>196-19-000049</t>
  </si>
  <si>
    <t>Improvements to CC roads and drains from Banashankari Provision Store to Sampangi ramanna House to Harinagara in Ward No 196 Anjanapura</t>
  </si>
  <si>
    <t>196-19-000047</t>
  </si>
  <si>
    <t>Improvements to Ashraya Colony Cross roads and Masjidi Oppsite roads in Ward No 196 Anjanapura</t>
  </si>
  <si>
    <t>196-18-000067</t>
  </si>
  <si>
    <t>Providing Street lights tubler poles control switches and connected accessories in Anjanapura ward limits in ward no 196</t>
  </si>
  <si>
    <t xml:space="preserve"> M/s.Executive Engineer-01 KRIDL</t>
  </si>
  <si>
    <t>P3329</t>
  </si>
  <si>
    <t>Special Development works at Wards (70 wards Rs.1.00 Cr. Each) - Ward Numbers as per Budget Book 2017-18 page no. 109</t>
  </si>
  <si>
    <t>August</t>
  </si>
  <si>
    <t>196-18-000029</t>
  </si>
  <si>
    <t>Improvements to road and drain Anjanapura ward limits in ward no 196</t>
  </si>
  <si>
    <t>196-18-000023</t>
  </si>
  <si>
    <t>196-18-000012</t>
  </si>
  <si>
    <t>Improvements to road and drain in Kudwai Layout 3rd and 4th cross in ward no 196</t>
  </si>
  <si>
    <t>September</t>
  </si>
  <si>
    <t>196-18-000011</t>
  </si>
  <si>
    <t>Improvements to road and drain in Kudwai Layout 1st and 2nd cross in ward no 196</t>
  </si>
  <si>
    <t>196-18-000006</t>
  </si>
  <si>
    <t>Improvements to road and drain in Kembathalli Patelappa layout and Jayanna House in ward no 196</t>
  </si>
  <si>
    <t>196-18-000005</t>
  </si>
  <si>
    <t>Improvements to road and drain in Narayana Nagar 1,2,3 main road in ward no 196</t>
  </si>
  <si>
    <t>196-18-000009</t>
  </si>
  <si>
    <t>Improvements to road and drain in Narayana Nagar 11,12,13 and 14th main road in ward no 196.</t>
  </si>
  <si>
    <t>October</t>
  </si>
  <si>
    <t>196-20-000015</t>
  </si>
  <si>
    <t>Providing Assured Minimum Facilities AMF to all polling Stations of Loksabha Election 2019 pertains to Ward No 196</t>
  </si>
  <si>
    <t>Cheluvaraju D</t>
  </si>
  <si>
    <t>P0054</t>
  </si>
  <si>
    <t>Election expenses</t>
  </si>
  <si>
    <t>196-19-000032</t>
  </si>
  <si>
    <t>Management of soild waste at Avalahalli and surrounding area in ward no 196</t>
  </si>
  <si>
    <t>K Uday Kumar</t>
  </si>
  <si>
    <t>P3298</t>
  </si>
  <si>
    <t>14th Finance Commission Works - SWM Works</t>
  </si>
  <si>
    <t>196-19-000038</t>
  </si>
  <si>
    <t>Providing and construction UGD line in Anjaneya swamy temple road and surrounding area at Avalahalli in ward no 196 Anjanapura</t>
  </si>
  <si>
    <t>P3295</t>
  </si>
  <si>
    <t>14th Finance Commission Works - UGD Works</t>
  </si>
  <si>
    <t>196-19-000037</t>
  </si>
  <si>
    <t>Providing and construction UGD line in 1st A and B cross and surrounding area at Avalahalli in ward no 196</t>
  </si>
  <si>
    <t>196-18-000010</t>
  </si>
  <si>
    <t>Improvements to road and drain in Kerekodi to Adhi Narayana Temple in ward no 196</t>
  </si>
  <si>
    <t>November</t>
  </si>
  <si>
    <t>196-17-000019</t>
  </si>
  <si>
    <t xml:space="preserve">Construction of UGD line in Narayananagar Surrounding area at ward no 196 Anjanapura </t>
  </si>
  <si>
    <t>196-17-000080</t>
  </si>
  <si>
    <t>Improvements to roads and drains in Rayal Park at ward no 196 Anjanapura</t>
  </si>
  <si>
    <t>P0190</t>
  </si>
  <si>
    <t>Works sanctioned by Hon Mayor</t>
  </si>
  <si>
    <t>196-17-000094</t>
  </si>
  <si>
    <t xml:space="preserve">Improvements to roads and drains at Gollahalli Anjaneya Swamy Temple to Anand Group Apartment Surrounding area in ward no 196 Anjanapura </t>
  </si>
  <si>
    <t>196-19-000031</t>
  </si>
  <si>
    <t>Management of soild waste at Anjanapura and surrounding area in ward no 196</t>
  </si>
  <si>
    <t>December</t>
  </si>
  <si>
    <t>196-17-000003</t>
  </si>
  <si>
    <t>Development of works main road and cross roads in Narayanappa layout at Anjanapura in ward no 196</t>
  </si>
  <si>
    <t>196-17-000001</t>
  </si>
  <si>
    <t>Improvements to roads and drains from new bank colony 5th 6th and 7th cross roads at Anjanapura in ward no 196</t>
  </si>
  <si>
    <t>196-17-000002</t>
  </si>
  <si>
    <t>Improvements of roads and drains from soudhamini layout surroundings at Anjanapura in ward no 196</t>
  </si>
  <si>
    <t>196-17-000025</t>
  </si>
  <si>
    <t>Providing UGD line in 8th 9th and 10th cross road in Narayan Nagar 2nd block ward no 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</si>
</sst>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1"/>
  <sheetViews>
    <sheetView tabSelected="1" workbookViewId="0">
      <selection activeCell="A2" sqref="A2:XFD51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6096</v>
      </c>
      <c r="B2" s="5" t="s">
        <v>28</v>
      </c>
      <c r="C2" s="6">
        <v>43566</v>
      </c>
      <c r="D2" s="7">
        <v>196</v>
      </c>
      <c r="E2" s="8" t="s">
        <v>55</v>
      </c>
      <c r="F2" s="7" t="s">
        <v>56</v>
      </c>
      <c r="G2" s="8" t="s">
        <v>57</v>
      </c>
      <c r="H2" s="7" t="str">
        <f>"000085"</f>
        <v>000085</v>
      </c>
      <c r="I2" s="6">
        <v>42811</v>
      </c>
      <c r="J2" s="7" t="str">
        <f>"000038"</f>
        <v>000038</v>
      </c>
      <c r="K2" s="6">
        <v>42916</v>
      </c>
      <c r="L2" s="7" t="str">
        <f>"000034"</f>
        <v>000034</v>
      </c>
      <c r="M2" s="6">
        <v>42916</v>
      </c>
      <c r="N2" s="7">
        <v>17</v>
      </c>
      <c r="O2" s="7" t="str">
        <f>"000134"</f>
        <v>000134</v>
      </c>
      <c r="P2" s="6">
        <v>43563</v>
      </c>
      <c r="Q2" s="9">
        <v>14.97433</v>
      </c>
      <c r="R2" s="9">
        <v>1.93099</v>
      </c>
      <c r="S2" s="9">
        <v>13.043340000000001</v>
      </c>
      <c r="T2" s="7">
        <v>12</v>
      </c>
      <c r="U2" s="6">
        <v>43566</v>
      </c>
      <c r="V2" s="7">
        <v>1010101010</v>
      </c>
      <c r="W2" s="8" t="s">
        <v>51</v>
      </c>
      <c r="X2" s="7" t="s">
        <v>44</v>
      </c>
      <c r="Y2" s="8" t="s">
        <v>45</v>
      </c>
      <c r="Z2" s="7" t="s">
        <v>49</v>
      </c>
      <c r="AA2" s="8" t="s">
        <v>50</v>
      </c>
      <c r="AB2" s="9">
        <f t="shared" ref="AB2:AB15" si="0">Q2/100</f>
        <v>0.1497433</v>
      </c>
    </row>
    <row r="3" spans="1:28" x14ac:dyDescent="0.35">
      <c r="A3" s="4">
        <v>6097</v>
      </c>
      <c r="B3" s="5" t="s">
        <v>28</v>
      </c>
      <c r="C3" s="6">
        <v>43566</v>
      </c>
      <c r="D3" s="7">
        <v>196</v>
      </c>
      <c r="E3" s="8" t="s">
        <v>55</v>
      </c>
      <c r="F3" s="7" t="s">
        <v>58</v>
      </c>
      <c r="G3" s="8" t="s">
        <v>59</v>
      </c>
      <c r="H3" s="7" t="str">
        <f>"000084"</f>
        <v>000084</v>
      </c>
      <c r="I3" s="6">
        <v>42811</v>
      </c>
      <c r="J3" s="7" t="str">
        <f>"000039"</f>
        <v>000039</v>
      </c>
      <c r="K3" s="6">
        <v>42916</v>
      </c>
      <c r="L3" s="7" t="str">
        <f>"000035"</f>
        <v>000035</v>
      </c>
      <c r="M3" s="6">
        <v>42916</v>
      </c>
      <c r="N3" s="7">
        <v>17</v>
      </c>
      <c r="O3" s="7" t="str">
        <f>"000135"</f>
        <v>000135</v>
      </c>
      <c r="P3" s="6">
        <v>43563</v>
      </c>
      <c r="Q3" s="9">
        <v>9.8411899999999992</v>
      </c>
      <c r="R3" s="9">
        <v>1.3065800000000001</v>
      </c>
      <c r="S3" s="9">
        <v>8.5346100000000007</v>
      </c>
      <c r="T3" s="7">
        <v>12</v>
      </c>
      <c r="U3" s="6">
        <v>43566</v>
      </c>
      <c r="V3" s="7">
        <v>1010101010</v>
      </c>
      <c r="W3" s="8" t="s">
        <v>39</v>
      </c>
      <c r="X3" s="7" t="s">
        <v>44</v>
      </c>
      <c r="Y3" s="8" t="s">
        <v>45</v>
      </c>
      <c r="Z3" s="7" t="s">
        <v>49</v>
      </c>
      <c r="AA3" s="8" t="s">
        <v>50</v>
      </c>
      <c r="AB3" s="9">
        <f t="shared" si="0"/>
        <v>9.8411899999999997E-2</v>
      </c>
    </row>
    <row r="4" spans="1:28" x14ac:dyDescent="0.35">
      <c r="A4" s="4">
        <v>6098</v>
      </c>
      <c r="B4" s="5" t="s">
        <v>28</v>
      </c>
      <c r="C4" s="6">
        <v>43566</v>
      </c>
      <c r="D4" s="7">
        <v>196</v>
      </c>
      <c r="E4" s="8" t="s">
        <v>55</v>
      </c>
      <c r="F4" s="7" t="s">
        <v>60</v>
      </c>
      <c r="G4" s="8" t="s">
        <v>61</v>
      </c>
      <c r="H4" s="7" t="str">
        <f>"000080"</f>
        <v>000080</v>
      </c>
      <c r="I4" s="6">
        <v>42811</v>
      </c>
      <c r="J4" s="7" t="str">
        <f>"000040"</f>
        <v>000040</v>
      </c>
      <c r="K4" s="6">
        <v>42916</v>
      </c>
      <c r="L4" s="7" t="str">
        <f>"000041"</f>
        <v>000041</v>
      </c>
      <c r="M4" s="6">
        <v>42916</v>
      </c>
      <c r="N4" s="7">
        <v>17</v>
      </c>
      <c r="O4" s="7" t="str">
        <f>"000136"</f>
        <v>000136</v>
      </c>
      <c r="P4" s="6">
        <v>43563</v>
      </c>
      <c r="Q4" s="9">
        <v>19.97691</v>
      </c>
      <c r="R4" s="9">
        <v>2.4731700000000001</v>
      </c>
      <c r="S4" s="9">
        <v>17.503740000000001</v>
      </c>
      <c r="T4" s="7">
        <v>12</v>
      </c>
      <c r="U4" s="6">
        <v>43566</v>
      </c>
      <c r="V4" s="7">
        <v>1010101010</v>
      </c>
      <c r="W4" s="8" t="s">
        <v>39</v>
      </c>
      <c r="X4" s="7" t="s">
        <v>44</v>
      </c>
      <c r="Y4" s="8" t="s">
        <v>45</v>
      </c>
      <c r="Z4" s="7" t="s">
        <v>49</v>
      </c>
      <c r="AA4" s="8" t="s">
        <v>50</v>
      </c>
      <c r="AB4" s="9">
        <f t="shared" si="0"/>
        <v>0.19976910000000001</v>
      </c>
    </row>
    <row r="5" spans="1:28" x14ac:dyDescent="0.35">
      <c r="A5" s="4">
        <v>6099</v>
      </c>
      <c r="B5" s="5" t="s">
        <v>28</v>
      </c>
      <c r="C5" s="6">
        <v>43567</v>
      </c>
      <c r="D5" s="7">
        <v>196</v>
      </c>
      <c r="E5" s="8" t="s">
        <v>55</v>
      </c>
      <c r="F5" s="7" t="s">
        <v>62</v>
      </c>
      <c r="G5" s="8" t="s">
        <v>63</v>
      </c>
      <c r="H5" s="7" t="str">
        <f>"000006"</f>
        <v>000006</v>
      </c>
      <c r="I5" s="6">
        <v>42929</v>
      </c>
      <c r="J5" s="7" t="str">
        <f>"000071"</f>
        <v>000071</v>
      </c>
      <c r="K5" s="6">
        <v>43483</v>
      </c>
      <c r="L5" s="7" t="str">
        <f>"000073"</f>
        <v>000073</v>
      </c>
      <c r="M5" s="6">
        <v>43484</v>
      </c>
      <c r="N5" s="7">
        <v>16</v>
      </c>
      <c r="O5" s="7" t="str">
        <f>"001121"</f>
        <v>001121</v>
      </c>
      <c r="P5" s="6">
        <v>43581</v>
      </c>
      <c r="Q5" s="9">
        <v>3.31304</v>
      </c>
      <c r="R5" s="9">
        <v>0.37911</v>
      </c>
      <c r="S5" s="9">
        <v>2.9339300000000001</v>
      </c>
      <c r="T5" s="7">
        <v>17</v>
      </c>
      <c r="U5" s="6">
        <v>43567</v>
      </c>
      <c r="V5" s="7">
        <v>9632977771</v>
      </c>
      <c r="W5" s="8" t="s">
        <v>52</v>
      </c>
      <c r="X5" s="7" t="s">
        <v>34</v>
      </c>
      <c r="Y5" s="8" t="s">
        <v>33</v>
      </c>
      <c r="Z5" s="7" t="s">
        <v>42</v>
      </c>
      <c r="AA5" s="8" t="s">
        <v>43</v>
      </c>
      <c r="AB5" s="9">
        <f t="shared" si="0"/>
        <v>3.3130399999999997E-2</v>
      </c>
    </row>
    <row r="6" spans="1:28" x14ac:dyDescent="0.35">
      <c r="A6" s="4">
        <v>6100</v>
      </c>
      <c r="B6" s="5" t="s">
        <v>28</v>
      </c>
      <c r="C6" s="6">
        <v>43567</v>
      </c>
      <c r="D6" s="7">
        <v>196</v>
      </c>
      <c r="E6" s="8" t="s">
        <v>55</v>
      </c>
      <c r="F6" s="7" t="s">
        <v>62</v>
      </c>
      <c r="G6" s="8" t="s">
        <v>63</v>
      </c>
      <c r="H6" s="7" t="str">
        <f>"000006"</f>
        <v>000006</v>
      </c>
      <c r="I6" s="6">
        <v>42929</v>
      </c>
      <c r="J6" s="7" t="str">
        <f>"000071"</f>
        <v>000071</v>
      </c>
      <c r="K6" s="6">
        <v>43483</v>
      </c>
      <c r="L6" s="7" t="str">
        <f>"000073"</f>
        <v>000073</v>
      </c>
      <c r="M6" s="6">
        <v>43484</v>
      </c>
      <c r="N6" s="7">
        <v>16</v>
      </c>
      <c r="O6" s="7" t="str">
        <f>"001121"</f>
        <v>001121</v>
      </c>
      <c r="P6" s="6">
        <v>43581</v>
      </c>
      <c r="Q6" s="9">
        <v>8.2825900000000008</v>
      </c>
      <c r="R6" s="9">
        <v>0.93710000000000004</v>
      </c>
      <c r="S6" s="9">
        <v>7.3454899999999999</v>
      </c>
      <c r="T6" s="7">
        <v>17</v>
      </c>
      <c r="U6" s="6">
        <v>43567</v>
      </c>
      <c r="V6" s="7">
        <v>9632977771</v>
      </c>
      <c r="W6" s="8" t="s">
        <v>52</v>
      </c>
      <c r="X6" s="7" t="s">
        <v>34</v>
      </c>
      <c r="Y6" s="8" t="s">
        <v>33</v>
      </c>
      <c r="Z6" s="7" t="s">
        <v>42</v>
      </c>
      <c r="AA6" s="8" t="s">
        <v>43</v>
      </c>
      <c r="AB6" s="9">
        <f t="shared" si="0"/>
        <v>8.2825900000000008E-2</v>
      </c>
    </row>
    <row r="7" spans="1:28" x14ac:dyDescent="0.35">
      <c r="A7" s="4">
        <v>6101</v>
      </c>
      <c r="B7" s="5" t="s">
        <v>28</v>
      </c>
      <c r="C7" s="6">
        <v>43580</v>
      </c>
      <c r="D7" s="7">
        <v>196</v>
      </c>
      <c r="E7" s="8" t="s">
        <v>55</v>
      </c>
      <c r="F7" s="7" t="s">
        <v>62</v>
      </c>
      <c r="G7" s="8" t="s">
        <v>63</v>
      </c>
      <c r="H7" s="7" t="str">
        <f>"000006"</f>
        <v>000006</v>
      </c>
      <c r="I7" s="6">
        <v>42929</v>
      </c>
      <c r="J7" s="7" t="str">
        <f>"000008"</f>
        <v>000008</v>
      </c>
      <c r="K7" s="6">
        <v>43601</v>
      </c>
      <c r="L7" s="7" t="str">
        <f>"000009"</f>
        <v>000009</v>
      </c>
      <c r="M7" s="6">
        <v>43602</v>
      </c>
      <c r="N7" s="7">
        <v>16</v>
      </c>
      <c r="O7" s="7" t="str">
        <f>""</f>
        <v/>
      </c>
      <c r="P7" s="6"/>
      <c r="Q7" s="9">
        <v>3.31304</v>
      </c>
      <c r="R7" s="9">
        <v>0.44866</v>
      </c>
      <c r="S7" s="9">
        <v>2.8643800000000001</v>
      </c>
      <c r="T7" s="7">
        <v>29</v>
      </c>
      <c r="U7" s="6">
        <v>43580</v>
      </c>
      <c r="V7" s="7">
        <v>9632977771</v>
      </c>
      <c r="W7" s="8" t="s">
        <v>52</v>
      </c>
      <c r="X7" s="7" t="s">
        <v>34</v>
      </c>
      <c r="Y7" s="8" t="s">
        <v>33</v>
      </c>
      <c r="Z7" s="7" t="s">
        <v>42</v>
      </c>
      <c r="AA7" s="8" t="s">
        <v>43</v>
      </c>
      <c r="AB7" s="9">
        <f t="shared" si="0"/>
        <v>3.3130399999999997E-2</v>
      </c>
    </row>
    <row r="8" spans="1:28" x14ac:dyDescent="0.35">
      <c r="A8" s="4">
        <v>6102</v>
      </c>
      <c r="B8" s="5" t="s">
        <v>28</v>
      </c>
      <c r="C8" s="6">
        <v>43582</v>
      </c>
      <c r="D8" s="7">
        <v>196</v>
      </c>
      <c r="E8" s="8" t="s">
        <v>55</v>
      </c>
      <c r="F8" s="7" t="s">
        <v>62</v>
      </c>
      <c r="G8" s="8" t="s">
        <v>63</v>
      </c>
      <c r="H8" s="7" t="str">
        <f>"000006"</f>
        <v>000006</v>
      </c>
      <c r="I8" s="6">
        <v>42929</v>
      </c>
      <c r="J8" s="7" t="str">
        <f>"000008"</f>
        <v>000008</v>
      </c>
      <c r="K8" s="6">
        <v>43601</v>
      </c>
      <c r="L8" s="7" t="str">
        <f>"000009"</f>
        <v>000009</v>
      </c>
      <c r="M8" s="6">
        <v>43602</v>
      </c>
      <c r="N8" s="7">
        <v>16</v>
      </c>
      <c r="O8" s="7" t="str">
        <f>""</f>
        <v/>
      </c>
      <c r="P8" s="6"/>
      <c r="Q8" s="9">
        <v>4.9695600000000004</v>
      </c>
      <c r="R8" s="9">
        <v>0.66349000000000002</v>
      </c>
      <c r="S8" s="9">
        <v>4.3060700000000001</v>
      </c>
      <c r="T8" s="7">
        <v>32</v>
      </c>
      <c r="U8" s="6">
        <v>43582</v>
      </c>
      <c r="V8" s="7">
        <v>9632977771</v>
      </c>
      <c r="W8" s="8" t="s">
        <v>52</v>
      </c>
      <c r="X8" s="7" t="s">
        <v>34</v>
      </c>
      <c r="Y8" s="8" t="s">
        <v>33</v>
      </c>
      <c r="Z8" s="7" t="s">
        <v>42</v>
      </c>
      <c r="AA8" s="8" t="s">
        <v>43</v>
      </c>
      <c r="AB8" s="9">
        <f t="shared" si="0"/>
        <v>4.9695600000000006E-2</v>
      </c>
    </row>
    <row r="9" spans="1:28" x14ac:dyDescent="0.35">
      <c r="A9" s="4">
        <v>6103</v>
      </c>
      <c r="B9" s="5" t="s">
        <v>32</v>
      </c>
      <c r="C9" s="6">
        <v>43591</v>
      </c>
      <c r="D9" s="7">
        <v>196</v>
      </c>
      <c r="E9" s="8" t="s">
        <v>55</v>
      </c>
      <c r="F9" s="7" t="s">
        <v>64</v>
      </c>
      <c r="G9" s="8" t="s">
        <v>65</v>
      </c>
      <c r="H9" s="7" t="str">
        <f>"000021"</f>
        <v>000021</v>
      </c>
      <c r="I9" s="6">
        <v>42493</v>
      </c>
      <c r="J9" s="7" t="str">
        <f>"000098"</f>
        <v>000098</v>
      </c>
      <c r="K9" s="6">
        <v>42770</v>
      </c>
      <c r="L9" s="7" t="str">
        <f>"000250"</f>
        <v>000250</v>
      </c>
      <c r="M9" s="6">
        <v>42770</v>
      </c>
      <c r="N9" s="7">
        <v>16</v>
      </c>
      <c r="O9" s="7" t="str">
        <f>"001218"</f>
        <v>001218</v>
      </c>
      <c r="P9" s="6">
        <v>43584</v>
      </c>
      <c r="Q9" s="9">
        <v>20.645</v>
      </c>
      <c r="R9" s="9">
        <v>3.0872999999999999</v>
      </c>
      <c r="S9" s="9">
        <v>17.557700000000001</v>
      </c>
      <c r="T9" s="7">
        <v>38</v>
      </c>
      <c r="U9" s="6">
        <v>43591</v>
      </c>
      <c r="V9" s="7">
        <v>9845183166</v>
      </c>
      <c r="W9" s="8" t="s">
        <v>66</v>
      </c>
      <c r="X9" s="7" t="s">
        <v>30</v>
      </c>
      <c r="Y9" s="8" t="s">
        <v>31</v>
      </c>
      <c r="Z9" s="7" t="s">
        <v>53</v>
      </c>
      <c r="AA9" s="8" t="s">
        <v>54</v>
      </c>
      <c r="AB9" s="9">
        <f t="shared" si="0"/>
        <v>0.20644999999999999</v>
      </c>
    </row>
    <row r="10" spans="1:28" x14ac:dyDescent="0.35">
      <c r="A10" s="4">
        <v>6104</v>
      </c>
      <c r="B10" s="5" t="s">
        <v>32</v>
      </c>
      <c r="C10" s="6">
        <v>43609</v>
      </c>
      <c r="D10" s="7">
        <v>196</v>
      </c>
      <c r="E10" s="8" t="s">
        <v>55</v>
      </c>
      <c r="F10" s="7" t="s">
        <v>67</v>
      </c>
      <c r="G10" s="8" t="s">
        <v>68</v>
      </c>
      <c r="H10" s="7" t="str">
        <f>"00a122"</f>
        <v>00a122</v>
      </c>
      <c r="I10" s="6">
        <v>42660</v>
      </c>
      <c r="J10" s="7" t="str">
        <f>"000013"</f>
        <v>000013</v>
      </c>
      <c r="K10" s="6">
        <v>43006</v>
      </c>
      <c r="L10" s="7" t="str">
        <f>"000006"</f>
        <v>000006</v>
      </c>
      <c r="M10" s="6">
        <v>43038</v>
      </c>
      <c r="N10" s="7">
        <v>17</v>
      </c>
      <c r="O10" s="7" t="str">
        <f>"001923"</f>
        <v>001923</v>
      </c>
      <c r="P10" s="6">
        <v>43607</v>
      </c>
      <c r="Q10" s="9">
        <v>9.9960000000000004</v>
      </c>
      <c r="R10" s="9">
        <v>1.5032000000000001</v>
      </c>
      <c r="S10" s="9">
        <v>8.4928000000000008</v>
      </c>
      <c r="T10" s="7">
        <v>57</v>
      </c>
      <c r="U10" s="6">
        <v>43609</v>
      </c>
      <c r="V10" s="7">
        <v>1234567891</v>
      </c>
      <c r="W10" s="8" t="s">
        <v>39</v>
      </c>
      <c r="X10" s="7" t="s">
        <v>40</v>
      </c>
      <c r="Y10" s="8" t="s">
        <v>41</v>
      </c>
      <c r="Z10" s="7" t="s">
        <v>53</v>
      </c>
      <c r="AA10" s="8" t="s">
        <v>54</v>
      </c>
      <c r="AB10" s="9">
        <f t="shared" si="0"/>
        <v>9.9960000000000007E-2</v>
      </c>
    </row>
    <row r="11" spans="1:28" x14ac:dyDescent="0.35">
      <c r="A11" s="4">
        <v>6105</v>
      </c>
      <c r="B11" s="5" t="s">
        <v>32</v>
      </c>
      <c r="C11" s="6">
        <v>43610</v>
      </c>
      <c r="D11" s="7">
        <v>196</v>
      </c>
      <c r="E11" s="8" t="s">
        <v>55</v>
      </c>
      <c r="F11" s="7" t="s">
        <v>69</v>
      </c>
      <c r="G11" s="8" t="s">
        <v>70</v>
      </c>
      <c r="H11" s="7" t="str">
        <f>"000123"</f>
        <v>000123</v>
      </c>
      <c r="I11" s="6">
        <v>42660</v>
      </c>
      <c r="J11" s="7" t="str">
        <f>"000016"</f>
        <v>000016</v>
      </c>
      <c r="K11" s="6">
        <v>43034</v>
      </c>
      <c r="L11" s="7" t="str">
        <f>"000055"</f>
        <v>000055</v>
      </c>
      <c r="M11" s="6">
        <v>43133</v>
      </c>
      <c r="N11" s="7">
        <v>17</v>
      </c>
      <c r="O11" s="7" t="str">
        <f>"002069"</f>
        <v>002069</v>
      </c>
      <c r="P11" s="6">
        <v>43609</v>
      </c>
      <c r="Q11" s="9">
        <v>9.98</v>
      </c>
      <c r="R11" s="9">
        <v>1.1586000000000001</v>
      </c>
      <c r="S11" s="9">
        <v>8.8214000000000006</v>
      </c>
      <c r="T11" s="7">
        <v>59</v>
      </c>
      <c r="U11" s="6">
        <v>43610</v>
      </c>
      <c r="V11" s="7">
        <v>9845154892</v>
      </c>
      <c r="W11" s="8" t="s">
        <v>39</v>
      </c>
      <c r="X11" s="7" t="s">
        <v>40</v>
      </c>
      <c r="Y11" s="8" t="s">
        <v>41</v>
      </c>
      <c r="Z11" s="7" t="s">
        <v>53</v>
      </c>
      <c r="AA11" s="8" t="s">
        <v>54</v>
      </c>
      <c r="AB11" s="9">
        <f t="shared" si="0"/>
        <v>9.98E-2</v>
      </c>
    </row>
    <row r="12" spans="1:28" x14ac:dyDescent="0.35">
      <c r="A12" s="4">
        <v>6106</v>
      </c>
      <c r="B12" s="5" t="s">
        <v>32</v>
      </c>
      <c r="C12" s="6">
        <v>43614</v>
      </c>
      <c r="D12" s="7">
        <v>196</v>
      </c>
      <c r="E12" s="8" t="s">
        <v>55</v>
      </c>
      <c r="F12" s="7" t="s">
        <v>71</v>
      </c>
      <c r="G12" s="8" t="s">
        <v>72</v>
      </c>
      <c r="H12" s="7" t="str">
        <f>"00a271"</f>
        <v>00a271</v>
      </c>
      <c r="I12" s="6">
        <v>42803</v>
      </c>
      <c r="J12" s="7" t="str">
        <f>"000019"</f>
        <v>000019</v>
      </c>
      <c r="K12" s="6">
        <v>43039</v>
      </c>
      <c r="L12" s="7" t="str">
        <f>"000046"</f>
        <v>000046</v>
      </c>
      <c r="M12" s="6">
        <v>43132</v>
      </c>
      <c r="N12" s="7">
        <v>17</v>
      </c>
      <c r="O12" s="7" t="str">
        <f>"002091"</f>
        <v>002091</v>
      </c>
      <c r="P12" s="6">
        <v>43612</v>
      </c>
      <c r="Q12" s="9">
        <v>9.89</v>
      </c>
      <c r="R12" s="9">
        <v>1.0122</v>
      </c>
      <c r="S12" s="9">
        <v>8.8778000000000006</v>
      </c>
      <c r="T12" s="7">
        <v>64</v>
      </c>
      <c r="U12" s="6">
        <v>43614</v>
      </c>
      <c r="V12" s="7">
        <v>9845183166</v>
      </c>
      <c r="W12" s="8" t="s">
        <v>73</v>
      </c>
      <c r="X12" s="7" t="s">
        <v>30</v>
      </c>
      <c r="Y12" s="8" t="s">
        <v>31</v>
      </c>
      <c r="Z12" s="7" t="s">
        <v>53</v>
      </c>
      <c r="AA12" s="8" t="s">
        <v>54</v>
      </c>
      <c r="AB12" s="9">
        <f t="shared" si="0"/>
        <v>9.8900000000000002E-2</v>
      </c>
    </row>
    <row r="13" spans="1:28" x14ac:dyDescent="0.35">
      <c r="A13" s="4">
        <v>6107</v>
      </c>
      <c r="B13" s="5" t="s">
        <v>32</v>
      </c>
      <c r="C13" s="6">
        <v>43614</v>
      </c>
      <c r="D13" s="7">
        <v>196</v>
      </c>
      <c r="E13" s="8" t="s">
        <v>55</v>
      </c>
      <c r="F13" s="7" t="s">
        <v>74</v>
      </c>
      <c r="G13" s="8" t="s">
        <v>75</v>
      </c>
      <c r="H13" s="7" t="str">
        <f>"00a270"</f>
        <v>00a270</v>
      </c>
      <c r="I13" s="6">
        <v>42825</v>
      </c>
      <c r="J13" s="7" t="str">
        <f>"000018"</f>
        <v>000018</v>
      </c>
      <c r="K13" s="6">
        <v>43039</v>
      </c>
      <c r="L13" s="7" t="str">
        <f>"000047"</f>
        <v>000047</v>
      </c>
      <c r="M13" s="6">
        <v>43132</v>
      </c>
      <c r="N13" s="7">
        <v>17</v>
      </c>
      <c r="O13" s="7" t="str">
        <f>"002092"</f>
        <v>002092</v>
      </c>
      <c r="P13" s="6">
        <v>43612</v>
      </c>
      <c r="Q13" s="9">
        <v>10.3375</v>
      </c>
      <c r="R13" s="9">
        <v>1.0565</v>
      </c>
      <c r="S13" s="9">
        <v>9.2810000000000006</v>
      </c>
      <c r="T13" s="7">
        <v>64</v>
      </c>
      <c r="U13" s="6">
        <v>43614</v>
      </c>
      <c r="V13" s="7">
        <v>9845183166</v>
      </c>
      <c r="W13" s="8" t="s">
        <v>73</v>
      </c>
      <c r="X13" s="7" t="s">
        <v>30</v>
      </c>
      <c r="Y13" s="8" t="s">
        <v>31</v>
      </c>
      <c r="Z13" s="7" t="s">
        <v>53</v>
      </c>
      <c r="AA13" s="8" t="s">
        <v>54</v>
      </c>
      <c r="AB13" s="9">
        <f t="shared" si="0"/>
        <v>0.10337500000000001</v>
      </c>
    </row>
    <row r="14" spans="1:28" x14ac:dyDescent="0.35">
      <c r="A14" s="4">
        <v>6108</v>
      </c>
      <c r="B14" s="5" t="s">
        <v>32</v>
      </c>
      <c r="C14" s="6">
        <v>43614</v>
      </c>
      <c r="D14" s="7">
        <v>196</v>
      </c>
      <c r="E14" s="8" t="s">
        <v>55</v>
      </c>
      <c r="F14" s="7" t="s">
        <v>76</v>
      </c>
      <c r="G14" s="8" t="s">
        <v>77</v>
      </c>
      <c r="H14" s="7" t="str">
        <f>"000269"</f>
        <v>000269</v>
      </c>
      <c r="I14" s="6">
        <v>42825</v>
      </c>
      <c r="J14" s="7" t="str">
        <f>"000020"</f>
        <v>000020</v>
      </c>
      <c r="K14" s="6">
        <v>43039</v>
      </c>
      <c r="L14" s="7" t="str">
        <f>"000048"</f>
        <v>000048</v>
      </c>
      <c r="M14" s="6">
        <v>43132</v>
      </c>
      <c r="N14" s="7">
        <v>17</v>
      </c>
      <c r="O14" s="7" t="str">
        <f>"002093"</f>
        <v>002093</v>
      </c>
      <c r="P14" s="6">
        <v>43612</v>
      </c>
      <c r="Q14" s="9">
        <v>9.9082000000000008</v>
      </c>
      <c r="R14" s="9">
        <v>1.0125</v>
      </c>
      <c r="S14" s="9">
        <v>8.8956999999999997</v>
      </c>
      <c r="T14" s="7">
        <v>64</v>
      </c>
      <c r="U14" s="6">
        <v>43614</v>
      </c>
      <c r="V14" s="7">
        <v>9845183166</v>
      </c>
      <c r="W14" s="8" t="s">
        <v>78</v>
      </c>
      <c r="X14" s="7" t="s">
        <v>30</v>
      </c>
      <c r="Y14" s="8" t="s">
        <v>31</v>
      </c>
      <c r="Z14" s="7" t="s">
        <v>53</v>
      </c>
      <c r="AA14" s="8" t="s">
        <v>54</v>
      </c>
      <c r="AB14" s="9">
        <f t="shared" si="0"/>
        <v>9.9082000000000003E-2</v>
      </c>
    </row>
    <row r="15" spans="1:28" x14ac:dyDescent="0.35">
      <c r="A15" s="4">
        <v>6109</v>
      </c>
      <c r="B15" s="5" t="s">
        <v>32</v>
      </c>
      <c r="C15" s="6">
        <v>43615</v>
      </c>
      <c r="D15" s="7">
        <v>196</v>
      </c>
      <c r="E15" s="8" t="s">
        <v>55</v>
      </c>
      <c r="F15" s="7" t="s">
        <v>79</v>
      </c>
      <c r="G15" s="8" t="s">
        <v>80</v>
      </c>
      <c r="H15" s="7" t="str">
        <f>"000164"</f>
        <v>000164</v>
      </c>
      <c r="I15" s="6">
        <v>42760</v>
      </c>
      <c r="J15" s="7" t="str">
        <f>"000004"</f>
        <v>000004</v>
      </c>
      <c r="K15" s="6">
        <v>43003</v>
      </c>
      <c r="L15" s="7" t="str">
        <f>"000007"</f>
        <v>000007</v>
      </c>
      <c r="M15" s="6">
        <v>43048</v>
      </c>
      <c r="N15" s="7">
        <v>16</v>
      </c>
      <c r="O15" s="7" t="str">
        <f>"002130"</f>
        <v>002130</v>
      </c>
      <c r="P15" s="6">
        <v>43613</v>
      </c>
      <c r="Q15" s="9">
        <v>3.6162999999999998</v>
      </c>
      <c r="R15" s="9">
        <v>0.4022</v>
      </c>
      <c r="S15" s="9">
        <v>3.2141000000000002</v>
      </c>
      <c r="T15" s="7">
        <v>65</v>
      </c>
      <c r="U15" s="6">
        <v>43615</v>
      </c>
      <c r="V15" s="7">
        <v>9880188085</v>
      </c>
      <c r="W15" s="8" t="s">
        <v>81</v>
      </c>
      <c r="X15" s="7" t="s">
        <v>82</v>
      </c>
      <c r="Y15" s="8" t="s">
        <v>83</v>
      </c>
      <c r="Z15" s="7" t="s">
        <v>53</v>
      </c>
      <c r="AA15" s="8" t="s">
        <v>54</v>
      </c>
      <c r="AB15" s="9">
        <f t="shared" si="0"/>
        <v>3.6163000000000001E-2</v>
      </c>
    </row>
    <row r="16" spans="1:28" x14ac:dyDescent="0.35">
      <c r="A16" s="4">
        <v>6110</v>
      </c>
      <c r="B16" s="5" t="s">
        <v>29</v>
      </c>
      <c r="C16" s="6">
        <v>43617</v>
      </c>
      <c r="D16" s="7">
        <v>196</v>
      </c>
      <c r="E16" s="8" t="s">
        <v>55</v>
      </c>
      <c r="F16" s="7" t="s">
        <v>84</v>
      </c>
      <c r="G16" s="8" t="s">
        <v>85</v>
      </c>
      <c r="H16" s="7" t="str">
        <f>"000136"</f>
        <v>000136</v>
      </c>
      <c r="I16" s="6">
        <v>43460</v>
      </c>
      <c r="J16" s="7" t="str">
        <f>"000144"</f>
        <v>000144</v>
      </c>
      <c r="K16" s="6">
        <v>43486</v>
      </c>
      <c r="L16" s="7" t="str">
        <f>"000399"</f>
        <v>000399</v>
      </c>
      <c r="M16" s="6">
        <v>43500</v>
      </c>
      <c r="N16" s="7">
        <v>19</v>
      </c>
      <c r="O16" s="7" t="str">
        <f>"001910"</f>
        <v>001910</v>
      </c>
      <c r="P16" s="6">
        <v>43607</v>
      </c>
      <c r="Q16" s="9">
        <v>99.141900000000007</v>
      </c>
      <c r="R16" s="9">
        <v>14.143050000000001</v>
      </c>
      <c r="S16" s="9">
        <v>84.998850000000004</v>
      </c>
      <c r="T16" s="7">
        <v>67</v>
      </c>
      <c r="U16" s="6">
        <v>43617</v>
      </c>
      <c r="V16" s="7">
        <v>9845183166</v>
      </c>
      <c r="W16" s="8" t="s">
        <v>86</v>
      </c>
      <c r="X16" s="7" t="s">
        <v>37</v>
      </c>
      <c r="Y16" s="8" t="s">
        <v>38</v>
      </c>
      <c r="Z16" s="7" t="s">
        <v>53</v>
      </c>
      <c r="AA16" s="8" t="s">
        <v>54</v>
      </c>
      <c r="AB16" s="9">
        <v>0.99141900000000005</v>
      </c>
    </row>
    <row r="17" spans="1:28" x14ac:dyDescent="0.35">
      <c r="A17" s="4">
        <v>6111</v>
      </c>
      <c r="B17" s="5" t="s">
        <v>29</v>
      </c>
      <c r="C17" s="6">
        <v>43617</v>
      </c>
      <c r="D17" s="7">
        <v>196</v>
      </c>
      <c r="E17" s="8" t="s">
        <v>55</v>
      </c>
      <c r="F17" s="7" t="s">
        <v>87</v>
      </c>
      <c r="G17" s="8" t="s">
        <v>88</v>
      </c>
      <c r="H17" s="7" t="str">
        <f>"000126"</f>
        <v>000126</v>
      </c>
      <c r="I17" s="6">
        <v>43417</v>
      </c>
      <c r="J17" s="7" t="str">
        <f>"000161"</f>
        <v>000161</v>
      </c>
      <c r="K17" s="6">
        <v>43551</v>
      </c>
      <c r="L17" s="7" t="str">
        <f>"000006"</f>
        <v>000006</v>
      </c>
      <c r="M17" s="6">
        <v>43565</v>
      </c>
      <c r="N17" s="7">
        <v>17</v>
      </c>
      <c r="O17" s="7" t="str">
        <f>"002261"</f>
        <v>002261</v>
      </c>
      <c r="P17" s="6">
        <v>43614</v>
      </c>
      <c r="Q17" s="9">
        <v>1.446</v>
      </c>
      <c r="R17" s="9">
        <v>0.13982</v>
      </c>
      <c r="S17" s="9">
        <v>1.3061799999999999</v>
      </c>
      <c r="T17" s="7">
        <v>69</v>
      </c>
      <c r="U17" s="6">
        <v>43617</v>
      </c>
      <c r="V17" s="7">
        <v>7996176338</v>
      </c>
      <c r="W17" s="8" t="s">
        <v>89</v>
      </c>
      <c r="X17" s="7" t="s">
        <v>35</v>
      </c>
      <c r="Y17" s="8" t="s">
        <v>36</v>
      </c>
      <c r="Z17" s="7" t="s">
        <v>53</v>
      </c>
      <c r="AA17" s="8" t="s">
        <v>54</v>
      </c>
      <c r="AB17" s="9">
        <v>1.4459999999999999E-2</v>
      </c>
    </row>
    <row r="18" spans="1:28" x14ac:dyDescent="0.35">
      <c r="A18" s="4">
        <v>6112</v>
      </c>
      <c r="B18" s="5" t="s">
        <v>29</v>
      </c>
      <c r="C18" s="6">
        <v>43623</v>
      </c>
      <c r="D18" s="7">
        <v>196</v>
      </c>
      <c r="E18" s="8" t="s">
        <v>55</v>
      </c>
      <c r="F18" s="7" t="s">
        <v>62</v>
      </c>
      <c r="G18" s="8" t="s">
        <v>90</v>
      </c>
      <c r="H18" s="7" t="str">
        <f>"000006"</f>
        <v>000006</v>
      </c>
      <c r="I18" s="6">
        <v>42929</v>
      </c>
      <c r="J18" s="7" t="str">
        <f>"000008"</f>
        <v>000008</v>
      </c>
      <c r="K18" s="6">
        <v>43601</v>
      </c>
      <c r="L18" s="7" t="str">
        <f>"000009"</f>
        <v>000009</v>
      </c>
      <c r="M18" s="6">
        <v>43602</v>
      </c>
      <c r="N18" s="7">
        <v>16</v>
      </c>
      <c r="O18" s="7" t="str">
        <f>"002350"</f>
        <v>002350</v>
      </c>
      <c r="P18" s="6">
        <v>43617</v>
      </c>
      <c r="Q18" s="9">
        <v>6.62608</v>
      </c>
      <c r="R18" s="9">
        <v>0.89666999999999997</v>
      </c>
      <c r="S18" s="9">
        <v>5.7294099999999997</v>
      </c>
      <c r="T18" s="7">
        <v>73</v>
      </c>
      <c r="U18" s="6">
        <v>43623</v>
      </c>
      <c r="V18" s="7">
        <v>9632977771</v>
      </c>
      <c r="W18" s="8" t="s">
        <v>52</v>
      </c>
      <c r="X18" s="7" t="s">
        <v>34</v>
      </c>
      <c r="Y18" s="8" t="s">
        <v>33</v>
      </c>
      <c r="Z18" s="7" t="s">
        <v>42</v>
      </c>
      <c r="AA18" s="8" t="s">
        <v>43</v>
      </c>
      <c r="AB18" s="9">
        <v>6.6260799999999995E-2</v>
      </c>
    </row>
    <row r="19" spans="1:28" x14ac:dyDescent="0.35">
      <c r="A19" s="4">
        <v>6113</v>
      </c>
      <c r="B19" s="5" t="s">
        <v>29</v>
      </c>
      <c r="C19" s="6">
        <v>43629</v>
      </c>
      <c r="D19" s="7">
        <v>196</v>
      </c>
      <c r="E19" s="8" t="s">
        <v>55</v>
      </c>
      <c r="F19" s="7" t="s">
        <v>91</v>
      </c>
      <c r="G19" s="8" t="s">
        <v>92</v>
      </c>
      <c r="H19" s="7" t="str">
        <f>"000225"</f>
        <v>000225</v>
      </c>
      <c r="I19" s="6">
        <v>43531</v>
      </c>
      <c r="J19" s="7" t="str">
        <f>"000032"</f>
        <v>000032</v>
      </c>
      <c r="K19" s="6">
        <v>43614</v>
      </c>
      <c r="L19" s="7" t="str">
        <f>"000068"</f>
        <v>000068</v>
      </c>
      <c r="M19" s="6">
        <v>43614</v>
      </c>
      <c r="N19" s="7">
        <v>19</v>
      </c>
      <c r="O19" s="7" t="str">
        <f>"002545"</f>
        <v>002545</v>
      </c>
      <c r="P19" s="6">
        <v>43623</v>
      </c>
      <c r="Q19" s="9">
        <v>98.991699999999994</v>
      </c>
      <c r="R19" s="9">
        <v>4.9370500000000002</v>
      </c>
      <c r="S19" s="9">
        <v>94.054649999999995</v>
      </c>
      <c r="T19" s="7">
        <v>81</v>
      </c>
      <c r="U19" s="6">
        <v>43629</v>
      </c>
      <c r="V19" s="7">
        <v>9845057449</v>
      </c>
      <c r="W19" s="8" t="s">
        <v>46</v>
      </c>
      <c r="X19" s="7" t="s">
        <v>47</v>
      </c>
      <c r="Y19" s="8" t="s">
        <v>48</v>
      </c>
      <c r="Z19" s="7" t="s">
        <v>53</v>
      </c>
      <c r="AA19" s="8" t="s">
        <v>54</v>
      </c>
      <c r="AB19" s="9">
        <v>0.98991699999999994</v>
      </c>
    </row>
    <row r="20" spans="1:28" x14ac:dyDescent="0.35">
      <c r="A20" s="4">
        <v>6114</v>
      </c>
      <c r="B20" s="5" t="s">
        <v>29</v>
      </c>
      <c r="C20" s="6">
        <v>43634</v>
      </c>
      <c r="D20" s="7">
        <v>196</v>
      </c>
      <c r="E20" s="8" t="s">
        <v>55</v>
      </c>
      <c r="F20" s="7" t="s">
        <v>93</v>
      </c>
      <c r="G20" s="8" t="s">
        <v>94</v>
      </c>
      <c r="H20" s="7" t="str">
        <f>"000068"</f>
        <v>000068</v>
      </c>
      <c r="I20" s="6">
        <v>42845</v>
      </c>
      <c r="J20" s="7" t="str">
        <f>"000014"</f>
        <v>000014</v>
      </c>
      <c r="K20" s="6">
        <v>43033</v>
      </c>
      <c r="L20" s="7" t="str">
        <f>"000011"</f>
        <v>000011</v>
      </c>
      <c r="M20" s="6">
        <v>43099</v>
      </c>
      <c r="N20" s="7">
        <v>17</v>
      </c>
      <c r="O20" s="7" t="str">
        <f>"002658"</f>
        <v>002658</v>
      </c>
      <c r="P20" s="6">
        <v>43628</v>
      </c>
      <c r="Q20" s="9">
        <v>27.46311</v>
      </c>
      <c r="R20" s="9">
        <v>3.7481</v>
      </c>
      <c r="S20" s="9">
        <v>23.715009999999999</v>
      </c>
      <c r="T20" s="7">
        <v>88</v>
      </c>
      <c r="U20" s="6">
        <v>43634</v>
      </c>
      <c r="V20" s="7">
        <v>1234567891</v>
      </c>
      <c r="W20" s="8" t="s">
        <v>95</v>
      </c>
      <c r="X20" s="7" t="s">
        <v>30</v>
      </c>
      <c r="Y20" s="8" t="s">
        <v>31</v>
      </c>
      <c r="Z20" s="7" t="s">
        <v>53</v>
      </c>
      <c r="AA20" s="8" t="s">
        <v>54</v>
      </c>
      <c r="AB20" s="9">
        <v>0.27463110000000002</v>
      </c>
    </row>
    <row r="21" spans="1:28" x14ac:dyDescent="0.35">
      <c r="A21" s="4">
        <v>6115</v>
      </c>
      <c r="B21" s="5" t="s">
        <v>96</v>
      </c>
      <c r="C21" s="6">
        <v>43647</v>
      </c>
      <c r="D21" s="7">
        <v>196</v>
      </c>
      <c r="E21" s="8" t="s">
        <v>55</v>
      </c>
      <c r="F21" s="7" t="s">
        <v>97</v>
      </c>
      <c r="G21" s="10" t="s">
        <v>98</v>
      </c>
      <c r="H21" s="7" t="str">
        <f>"000009"</f>
        <v>000009</v>
      </c>
      <c r="I21" s="6">
        <v>43088</v>
      </c>
      <c r="J21" s="7" t="str">
        <f>"000061"</f>
        <v>000061</v>
      </c>
      <c r="K21" s="6">
        <v>43173</v>
      </c>
      <c r="L21" s="7" t="str">
        <f>"000061"</f>
        <v>000061</v>
      </c>
      <c r="M21" s="6">
        <v>43174</v>
      </c>
      <c r="N21" s="7">
        <v>17</v>
      </c>
      <c r="O21" s="7" t="str">
        <f>"002984"</f>
        <v>002984</v>
      </c>
      <c r="P21" s="6">
        <v>43640</v>
      </c>
      <c r="Q21" s="11">
        <v>29.93102</v>
      </c>
      <c r="R21" s="11">
        <v>3.1620200000000001</v>
      </c>
      <c r="S21" s="11">
        <v>26.768999999999998</v>
      </c>
      <c r="T21" s="7">
        <v>100</v>
      </c>
      <c r="U21" s="6">
        <v>43647</v>
      </c>
      <c r="V21" s="7">
        <v>9999999999</v>
      </c>
      <c r="W21" s="10" t="s">
        <v>39</v>
      </c>
      <c r="X21" s="7" t="s">
        <v>99</v>
      </c>
      <c r="Y21" s="10" t="s">
        <v>100</v>
      </c>
      <c r="Z21" s="7" t="s">
        <v>49</v>
      </c>
      <c r="AA21" s="10" t="s">
        <v>50</v>
      </c>
      <c r="AB21" s="11">
        <f t="shared" ref="AB21:AB37" si="1">Q21/100</f>
        <v>0.29931020000000003</v>
      </c>
    </row>
    <row r="22" spans="1:28" x14ac:dyDescent="0.35">
      <c r="A22" s="4">
        <v>6116</v>
      </c>
      <c r="B22" s="5" t="s">
        <v>96</v>
      </c>
      <c r="C22" s="6">
        <v>43647</v>
      </c>
      <c r="D22" s="7">
        <v>196</v>
      </c>
      <c r="E22" s="8" t="s">
        <v>55</v>
      </c>
      <c r="F22" s="7" t="s">
        <v>101</v>
      </c>
      <c r="G22" s="10" t="s">
        <v>102</v>
      </c>
      <c r="H22" s="7" t="str">
        <f>"000281"</f>
        <v>000281</v>
      </c>
      <c r="I22" s="6">
        <v>42825</v>
      </c>
      <c r="J22" s="7" t="str">
        <f>"000015"</f>
        <v>000015</v>
      </c>
      <c r="K22" s="6">
        <v>43034</v>
      </c>
      <c r="L22" s="7" t="str">
        <f>"000053"</f>
        <v>000053</v>
      </c>
      <c r="M22" s="6">
        <v>43133</v>
      </c>
      <c r="N22" s="7">
        <v>17</v>
      </c>
      <c r="O22" s="7" t="str">
        <f>"003068"</f>
        <v>003068</v>
      </c>
      <c r="P22" s="6">
        <v>43640</v>
      </c>
      <c r="Q22" s="11">
        <v>14.79</v>
      </c>
      <c r="R22" s="11">
        <v>2.1618499999999998</v>
      </c>
      <c r="S22" s="11">
        <v>12.62815</v>
      </c>
      <c r="T22" s="7">
        <v>100</v>
      </c>
      <c r="U22" s="6">
        <v>43647</v>
      </c>
      <c r="V22" s="7">
        <v>9845183166</v>
      </c>
      <c r="W22" s="10" t="s">
        <v>39</v>
      </c>
      <c r="X22" s="7" t="s">
        <v>103</v>
      </c>
      <c r="Y22" s="10" t="s">
        <v>104</v>
      </c>
      <c r="Z22" s="7" t="s">
        <v>53</v>
      </c>
      <c r="AA22" s="10" t="s">
        <v>105</v>
      </c>
      <c r="AB22" s="11">
        <f t="shared" si="1"/>
        <v>0.1479</v>
      </c>
    </row>
    <row r="23" spans="1:28" x14ac:dyDescent="0.35">
      <c r="A23" s="4">
        <v>6117</v>
      </c>
      <c r="B23" s="5" t="s">
        <v>96</v>
      </c>
      <c r="C23" s="6">
        <v>43647</v>
      </c>
      <c r="D23" s="7">
        <v>196</v>
      </c>
      <c r="E23" s="8" t="s">
        <v>55</v>
      </c>
      <c r="F23" s="7" t="s">
        <v>106</v>
      </c>
      <c r="G23" s="10" t="s">
        <v>107</v>
      </c>
      <c r="H23" s="7" t="str">
        <f>"000117"</f>
        <v>000117</v>
      </c>
      <c r="I23" s="6">
        <v>43074</v>
      </c>
      <c r="J23" s="7" t="str">
        <f>"000092"</f>
        <v>000092</v>
      </c>
      <c r="K23" s="6">
        <v>43164</v>
      </c>
      <c r="L23" s="7" t="str">
        <f>"000132"</f>
        <v>000132</v>
      </c>
      <c r="M23" s="6">
        <v>43165</v>
      </c>
      <c r="N23" s="7">
        <v>17</v>
      </c>
      <c r="O23" s="7" t="str">
        <f>"003072"</f>
        <v>003072</v>
      </c>
      <c r="P23" s="6">
        <v>43640</v>
      </c>
      <c r="Q23" s="11">
        <v>47.3</v>
      </c>
      <c r="R23" s="11">
        <v>6.9935</v>
      </c>
      <c r="S23" s="11">
        <v>40.3065</v>
      </c>
      <c r="T23" s="7">
        <v>100</v>
      </c>
      <c r="U23" s="6">
        <v>43647</v>
      </c>
      <c r="V23" s="7">
        <v>9845183166</v>
      </c>
      <c r="W23" s="10" t="s">
        <v>108</v>
      </c>
      <c r="X23" s="7" t="s">
        <v>99</v>
      </c>
      <c r="Y23" s="10" t="s">
        <v>100</v>
      </c>
      <c r="Z23" s="7" t="s">
        <v>53</v>
      </c>
      <c r="AA23" s="10" t="s">
        <v>105</v>
      </c>
      <c r="AB23" s="11">
        <f t="shared" si="1"/>
        <v>0.47299999999999998</v>
      </c>
    </row>
    <row r="24" spans="1:28" x14ac:dyDescent="0.35">
      <c r="A24" s="4">
        <v>6118</v>
      </c>
      <c r="B24" s="5" t="s">
        <v>96</v>
      </c>
      <c r="C24" s="6">
        <v>43647</v>
      </c>
      <c r="D24" s="7">
        <v>196</v>
      </c>
      <c r="E24" s="8" t="s">
        <v>55</v>
      </c>
      <c r="F24" s="7" t="s">
        <v>109</v>
      </c>
      <c r="G24" s="10" t="s">
        <v>110</v>
      </c>
      <c r="H24" s="7" t="str">
        <f>"000118"</f>
        <v>000118</v>
      </c>
      <c r="I24" s="6">
        <v>43074</v>
      </c>
      <c r="J24" s="7" t="str">
        <f>"000093"</f>
        <v>000093</v>
      </c>
      <c r="K24" s="6">
        <v>43164</v>
      </c>
      <c r="L24" s="7" t="str">
        <f>"000133"</f>
        <v>000133</v>
      </c>
      <c r="M24" s="6">
        <v>43165</v>
      </c>
      <c r="N24" s="7">
        <v>17</v>
      </c>
      <c r="O24" s="7" t="str">
        <f>"003074"</f>
        <v>003074</v>
      </c>
      <c r="P24" s="6">
        <v>43640</v>
      </c>
      <c r="Q24" s="11">
        <v>47.3</v>
      </c>
      <c r="R24" s="11">
        <v>6.9835000000000003</v>
      </c>
      <c r="S24" s="11">
        <v>40.316499999999998</v>
      </c>
      <c r="T24" s="7">
        <v>100</v>
      </c>
      <c r="U24" s="6">
        <v>43647</v>
      </c>
      <c r="V24" s="7">
        <v>9845183166</v>
      </c>
      <c r="W24" s="10" t="s">
        <v>108</v>
      </c>
      <c r="X24" s="7" t="s">
        <v>99</v>
      </c>
      <c r="Y24" s="10" t="s">
        <v>100</v>
      </c>
      <c r="Z24" s="7" t="s">
        <v>53</v>
      </c>
      <c r="AA24" s="10" t="s">
        <v>105</v>
      </c>
      <c r="AB24" s="11">
        <f t="shared" si="1"/>
        <v>0.47299999999999998</v>
      </c>
    </row>
    <row r="25" spans="1:28" x14ac:dyDescent="0.35">
      <c r="A25" s="4">
        <v>6119</v>
      </c>
      <c r="B25" s="5" t="s">
        <v>96</v>
      </c>
      <c r="C25" s="6">
        <v>43647</v>
      </c>
      <c r="D25" s="7">
        <v>196</v>
      </c>
      <c r="E25" s="8" t="s">
        <v>55</v>
      </c>
      <c r="F25" s="7" t="s">
        <v>111</v>
      </c>
      <c r="G25" s="10" t="s">
        <v>112</v>
      </c>
      <c r="H25" s="7" t="str">
        <f>"000119"</f>
        <v>000119</v>
      </c>
      <c r="I25" s="6">
        <v>43074</v>
      </c>
      <c r="J25" s="7" t="str">
        <f>"000094"</f>
        <v>000094</v>
      </c>
      <c r="K25" s="6">
        <v>43171</v>
      </c>
      <c r="L25" s="7" t="str">
        <f>"000139"</f>
        <v>000139</v>
      </c>
      <c r="M25" s="6">
        <v>43172</v>
      </c>
      <c r="N25" s="7">
        <v>17</v>
      </c>
      <c r="O25" s="7" t="str">
        <f>"003076"</f>
        <v>003076</v>
      </c>
      <c r="P25" s="6">
        <v>43640</v>
      </c>
      <c r="Q25" s="11">
        <v>47.3</v>
      </c>
      <c r="R25" s="11">
        <v>6.9835000000000003</v>
      </c>
      <c r="S25" s="11">
        <v>40.316499999999998</v>
      </c>
      <c r="T25" s="7">
        <v>100</v>
      </c>
      <c r="U25" s="6">
        <v>43647</v>
      </c>
      <c r="V25" s="7">
        <v>9845183166</v>
      </c>
      <c r="W25" s="10" t="s">
        <v>108</v>
      </c>
      <c r="X25" s="7" t="s">
        <v>99</v>
      </c>
      <c r="Y25" s="10" t="s">
        <v>100</v>
      </c>
      <c r="Z25" s="7" t="s">
        <v>53</v>
      </c>
      <c r="AA25" s="10" t="s">
        <v>105</v>
      </c>
      <c r="AB25" s="11">
        <f t="shared" si="1"/>
        <v>0.47299999999999998</v>
      </c>
    </row>
    <row r="26" spans="1:28" x14ac:dyDescent="0.35">
      <c r="A26" s="4">
        <v>6120</v>
      </c>
      <c r="B26" s="5" t="s">
        <v>96</v>
      </c>
      <c r="C26" s="6">
        <v>43658</v>
      </c>
      <c r="D26" s="7">
        <v>196</v>
      </c>
      <c r="E26" s="8" t="s">
        <v>55</v>
      </c>
      <c r="F26" s="7" t="s">
        <v>113</v>
      </c>
      <c r="G26" s="10" t="s">
        <v>114</v>
      </c>
      <c r="H26" s="7" t="str">
        <f>"000138"</f>
        <v>000138</v>
      </c>
      <c r="I26" s="6">
        <v>43460</v>
      </c>
      <c r="J26" s="7" t="str">
        <f>"000150"</f>
        <v>000150</v>
      </c>
      <c r="K26" s="6">
        <v>43523</v>
      </c>
      <c r="L26" s="7" t="str">
        <f>"000427"</f>
        <v>000427</v>
      </c>
      <c r="M26" s="6">
        <v>43526</v>
      </c>
      <c r="N26" s="7">
        <v>19</v>
      </c>
      <c r="O26" s="7" t="str">
        <f>"003290"</f>
        <v>003290</v>
      </c>
      <c r="P26" s="6">
        <v>43650</v>
      </c>
      <c r="Q26" s="11">
        <v>99.133600000000001</v>
      </c>
      <c r="R26" s="11">
        <v>14.2699</v>
      </c>
      <c r="S26" s="11">
        <v>84.863699999999994</v>
      </c>
      <c r="T26" s="7">
        <v>112</v>
      </c>
      <c r="U26" s="6">
        <v>43658</v>
      </c>
      <c r="V26" s="7">
        <v>9845183166</v>
      </c>
      <c r="W26" s="10" t="s">
        <v>108</v>
      </c>
      <c r="X26" s="7" t="s">
        <v>37</v>
      </c>
      <c r="Y26" s="10" t="s">
        <v>38</v>
      </c>
      <c r="Z26" s="7" t="s">
        <v>53</v>
      </c>
      <c r="AA26" s="10" t="s">
        <v>105</v>
      </c>
      <c r="AB26" s="11">
        <f t="shared" si="1"/>
        <v>0.99133599999999999</v>
      </c>
    </row>
    <row r="27" spans="1:28" x14ac:dyDescent="0.35">
      <c r="A27" s="4">
        <v>6121</v>
      </c>
      <c r="B27" s="5" t="s">
        <v>96</v>
      </c>
      <c r="C27" s="6">
        <v>43658</v>
      </c>
      <c r="D27" s="7">
        <v>196</v>
      </c>
      <c r="E27" s="8" t="s">
        <v>55</v>
      </c>
      <c r="F27" s="7" t="s">
        <v>115</v>
      </c>
      <c r="G27" s="10" t="s">
        <v>116</v>
      </c>
      <c r="H27" s="7" t="str">
        <f>"000139"</f>
        <v>000139</v>
      </c>
      <c r="I27" s="6">
        <v>43460</v>
      </c>
      <c r="J27" s="7" t="str">
        <f>"000151"</f>
        <v>000151</v>
      </c>
      <c r="K27" s="6">
        <v>43523</v>
      </c>
      <c r="L27" s="7" t="str">
        <f>"000426"</f>
        <v>000426</v>
      </c>
      <c r="M27" s="6">
        <v>43525</v>
      </c>
      <c r="N27" s="7">
        <v>19</v>
      </c>
      <c r="O27" s="7" t="str">
        <f>"003308"</f>
        <v>003308</v>
      </c>
      <c r="P27" s="6">
        <v>43650</v>
      </c>
      <c r="Q27" s="11">
        <v>99.131200000000007</v>
      </c>
      <c r="R27" s="11">
        <v>14.269500000000001</v>
      </c>
      <c r="S27" s="11">
        <v>84.861699999999999</v>
      </c>
      <c r="T27" s="7">
        <v>112</v>
      </c>
      <c r="U27" s="6">
        <v>43658</v>
      </c>
      <c r="V27" s="7">
        <v>9845183166</v>
      </c>
      <c r="W27" s="10" t="s">
        <v>108</v>
      </c>
      <c r="X27" s="7" t="s">
        <v>37</v>
      </c>
      <c r="Y27" s="10" t="s">
        <v>38</v>
      </c>
      <c r="Z27" s="7" t="s">
        <v>53</v>
      </c>
      <c r="AA27" s="10" t="s">
        <v>105</v>
      </c>
      <c r="AB27" s="11">
        <f t="shared" si="1"/>
        <v>0.99131200000000008</v>
      </c>
    </row>
    <row r="28" spans="1:28" x14ac:dyDescent="0.35">
      <c r="A28" s="4">
        <v>6122</v>
      </c>
      <c r="B28" s="5" t="s">
        <v>96</v>
      </c>
      <c r="C28" s="6">
        <v>43658</v>
      </c>
      <c r="D28" s="7">
        <v>196</v>
      </c>
      <c r="E28" s="8" t="s">
        <v>55</v>
      </c>
      <c r="F28" s="7" t="s">
        <v>117</v>
      </c>
      <c r="G28" s="10" t="s">
        <v>118</v>
      </c>
      <c r="H28" s="7" t="str">
        <f>"000137"</f>
        <v>000137</v>
      </c>
      <c r="I28" s="6">
        <v>43460</v>
      </c>
      <c r="J28" s="7" t="str">
        <f>"000010"</f>
        <v>000010</v>
      </c>
      <c r="K28" s="6">
        <v>43582</v>
      </c>
      <c r="L28" s="7" t="str">
        <f>"000046"</f>
        <v>000046</v>
      </c>
      <c r="M28" s="6">
        <v>43589</v>
      </c>
      <c r="N28" s="7">
        <v>19</v>
      </c>
      <c r="O28" s="7" t="str">
        <f>"003309"</f>
        <v>003309</v>
      </c>
      <c r="P28" s="6">
        <v>43650</v>
      </c>
      <c r="Q28" s="11">
        <v>99.141599999999997</v>
      </c>
      <c r="R28" s="11">
        <v>14.2783</v>
      </c>
      <c r="S28" s="11">
        <v>84.863299999999995</v>
      </c>
      <c r="T28" s="7">
        <v>112</v>
      </c>
      <c r="U28" s="6">
        <v>43658</v>
      </c>
      <c r="V28" s="7">
        <v>9845183166</v>
      </c>
      <c r="W28" s="10" t="s">
        <v>108</v>
      </c>
      <c r="X28" s="7" t="s">
        <v>37</v>
      </c>
      <c r="Y28" s="10" t="s">
        <v>38</v>
      </c>
      <c r="Z28" s="7" t="s">
        <v>53</v>
      </c>
      <c r="AA28" s="10" t="s">
        <v>105</v>
      </c>
      <c r="AB28" s="11">
        <f t="shared" si="1"/>
        <v>0.99141599999999996</v>
      </c>
    </row>
    <row r="29" spans="1:28" x14ac:dyDescent="0.35">
      <c r="A29" s="4">
        <v>6123</v>
      </c>
      <c r="B29" s="5" t="s">
        <v>96</v>
      </c>
      <c r="C29" s="6">
        <v>43665</v>
      </c>
      <c r="D29" s="7">
        <v>196</v>
      </c>
      <c r="E29" s="8" t="s">
        <v>55</v>
      </c>
      <c r="F29" s="7" t="s">
        <v>119</v>
      </c>
      <c r="G29" s="10" t="s">
        <v>120</v>
      </c>
      <c r="H29" s="7" t="str">
        <f>"000060"</f>
        <v>000060</v>
      </c>
      <c r="I29" s="6">
        <v>43209</v>
      </c>
      <c r="J29" s="7" t="str">
        <f>"000090"</f>
        <v>000090</v>
      </c>
      <c r="K29" s="6">
        <v>43190</v>
      </c>
      <c r="L29" s="7" t="str">
        <f>"000093"</f>
        <v>000093</v>
      </c>
      <c r="M29" s="6">
        <v>43190</v>
      </c>
      <c r="N29" s="7">
        <v>18</v>
      </c>
      <c r="O29" s="7" t="str">
        <f>"003826"</f>
        <v>003826</v>
      </c>
      <c r="P29" s="6">
        <v>43665</v>
      </c>
      <c r="Q29" s="11">
        <v>49.85042</v>
      </c>
      <c r="R29" s="11">
        <v>6.4310999999999998</v>
      </c>
      <c r="S29" s="11">
        <v>43.419319999999999</v>
      </c>
      <c r="T29" s="7">
        <v>118</v>
      </c>
      <c r="U29" s="6">
        <v>43665</v>
      </c>
      <c r="V29" s="7">
        <v>9480683443</v>
      </c>
      <c r="W29" s="10" t="s">
        <v>121</v>
      </c>
      <c r="X29" s="7" t="s">
        <v>122</v>
      </c>
      <c r="Y29" s="10" t="s">
        <v>123</v>
      </c>
      <c r="Z29" s="7" t="s">
        <v>42</v>
      </c>
      <c r="AA29" s="10" t="s">
        <v>43</v>
      </c>
      <c r="AB29" s="11">
        <f t="shared" si="1"/>
        <v>0.49850420000000001</v>
      </c>
    </row>
    <row r="30" spans="1:28" x14ac:dyDescent="0.35">
      <c r="A30" s="4">
        <v>6124</v>
      </c>
      <c r="B30" s="5" t="s">
        <v>124</v>
      </c>
      <c r="C30" s="6">
        <v>43696</v>
      </c>
      <c r="D30" s="7">
        <v>196</v>
      </c>
      <c r="E30" s="8" t="s">
        <v>55</v>
      </c>
      <c r="F30" s="7" t="s">
        <v>125</v>
      </c>
      <c r="G30" s="10" t="s">
        <v>126</v>
      </c>
      <c r="H30" s="7" t="str">
        <f>"000057"</f>
        <v>000057</v>
      </c>
      <c r="I30" s="6">
        <v>43015</v>
      </c>
      <c r="J30" s="7" t="str">
        <f>"000040"</f>
        <v>000040</v>
      </c>
      <c r="K30" s="6">
        <v>43091</v>
      </c>
      <c r="L30" s="7" t="str">
        <f>"000017"</f>
        <v>000017</v>
      </c>
      <c r="M30" s="6">
        <v>43099</v>
      </c>
      <c r="N30" s="7">
        <v>18</v>
      </c>
      <c r="O30" s="7" t="str">
        <f>"004384"</f>
        <v>004384</v>
      </c>
      <c r="P30" s="6">
        <v>43686</v>
      </c>
      <c r="Q30" s="11">
        <v>49.86</v>
      </c>
      <c r="R30" s="11">
        <v>7.2770000000000001</v>
      </c>
      <c r="S30" s="11">
        <v>42.582999999999998</v>
      </c>
      <c r="T30" s="7">
        <v>158</v>
      </c>
      <c r="U30" s="6">
        <v>43696</v>
      </c>
      <c r="V30" s="7">
        <v>9845131166</v>
      </c>
      <c r="W30" s="10" t="s">
        <v>108</v>
      </c>
      <c r="X30" s="7" t="s">
        <v>99</v>
      </c>
      <c r="Y30" s="10" t="s">
        <v>100</v>
      </c>
      <c r="Z30" s="7" t="s">
        <v>53</v>
      </c>
      <c r="AA30" s="10" t="s">
        <v>105</v>
      </c>
      <c r="AB30" s="11">
        <f t="shared" si="1"/>
        <v>0.49859999999999999</v>
      </c>
    </row>
    <row r="31" spans="1:28" x14ac:dyDescent="0.35">
      <c r="A31" s="4">
        <v>6125</v>
      </c>
      <c r="B31" s="5" t="s">
        <v>124</v>
      </c>
      <c r="C31" s="6">
        <v>43696</v>
      </c>
      <c r="D31" s="7">
        <v>196</v>
      </c>
      <c r="E31" s="8" t="s">
        <v>55</v>
      </c>
      <c r="F31" s="7" t="s">
        <v>127</v>
      </c>
      <c r="G31" s="10" t="s">
        <v>126</v>
      </c>
      <c r="H31" s="7" t="str">
        <f>"000051"</f>
        <v>000051</v>
      </c>
      <c r="I31" s="6">
        <v>43015</v>
      </c>
      <c r="J31" s="7" t="str">
        <f>"000042"</f>
        <v>000042</v>
      </c>
      <c r="K31" s="6">
        <v>43091</v>
      </c>
      <c r="L31" s="7" t="str">
        <f>"000018"</f>
        <v>000018</v>
      </c>
      <c r="M31" s="6">
        <v>43099</v>
      </c>
      <c r="N31" s="7">
        <v>18</v>
      </c>
      <c r="O31" s="7" t="str">
        <f>"004385"</f>
        <v>004385</v>
      </c>
      <c r="P31" s="6">
        <v>43686</v>
      </c>
      <c r="Q31" s="11">
        <v>49.81</v>
      </c>
      <c r="R31" s="11">
        <v>7.2627499999999996</v>
      </c>
      <c r="S31" s="11">
        <v>42.547249999999998</v>
      </c>
      <c r="T31" s="7">
        <v>158</v>
      </c>
      <c r="U31" s="6">
        <v>43696</v>
      </c>
      <c r="V31" s="7">
        <v>9845131166</v>
      </c>
      <c r="W31" s="10" t="s">
        <v>108</v>
      </c>
      <c r="X31" s="7" t="s">
        <v>99</v>
      </c>
      <c r="Y31" s="10" t="s">
        <v>100</v>
      </c>
      <c r="Z31" s="7" t="s">
        <v>53</v>
      </c>
      <c r="AA31" s="10" t="s">
        <v>105</v>
      </c>
      <c r="AB31" s="11">
        <f t="shared" si="1"/>
        <v>0.49810000000000004</v>
      </c>
    </row>
    <row r="32" spans="1:28" x14ac:dyDescent="0.35">
      <c r="A32" s="4">
        <v>6126</v>
      </c>
      <c r="B32" s="5" t="s">
        <v>124</v>
      </c>
      <c r="C32" s="6">
        <v>43698</v>
      </c>
      <c r="D32" s="7">
        <v>196</v>
      </c>
      <c r="E32" s="8" t="s">
        <v>55</v>
      </c>
      <c r="F32" s="7" t="s">
        <v>62</v>
      </c>
      <c r="G32" s="10" t="s">
        <v>63</v>
      </c>
      <c r="H32" s="7" t="str">
        <f>"000006"</f>
        <v>000006</v>
      </c>
      <c r="I32" s="6">
        <v>42929</v>
      </c>
      <c r="J32" s="7" t="str">
        <f>"000048"</f>
        <v>000048</v>
      </c>
      <c r="K32" s="6">
        <v>43782</v>
      </c>
      <c r="L32" s="7" t="str">
        <f>"000046"</f>
        <v>000046</v>
      </c>
      <c r="M32" s="6">
        <v>43783</v>
      </c>
      <c r="N32" s="7">
        <v>16</v>
      </c>
      <c r="O32" s="7" t="str">
        <f>"006338"</f>
        <v>006338</v>
      </c>
      <c r="P32" s="6">
        <v>43791</v>
      </c>
      <c r="Q32" s="11">
        <v>4.9695600000000004</v>
      </c>
      <c r="R32" s="11">
        <v>0.66649000000000003</v>
      </c>
      <c r="S32" s="11">
        <v>4.30307</v>
      </c>
      <c r="T32" s="7">
        <v>161</v>
      </c>
      <c r="U32" s="6">
        <v>43698</v>
      </c>
      <c r="V32" s="7">
        <v>9632977771</v>
      </c>
      <c r="W32" s="10" t="s">
        <v>52</v>
      </c>
      <c r="X32" s="7" t="s">
        <v>34</v>
      </c>
      <c r="Y32" s="10" t="s">
        <v>33</v>
      </c>
      <c r="Z32" s="7" t="s">
        <v>42</v>
      </c>
      <c r="AA32" s="10" t="s">
        <v>43</v>
      </c>
      <c r="AB32" s="11">
        <f t="shared" si="1"/>
        <v>4.9695600000000006E-2</v>
      </c>
    </row>
    <row r="33" spans="1:28" x14ac:dyDescent="0.35">
      <c r="A33" s="4">
        <v>6127</v>
      </c>
      <c r="B33" s="5" t="s">
        <v>124</v>
      </c>
      <c r="C33" s="6">
        <v>43704</v>
      </c>
      <c r="D33" s="7">
        <v>196</v>
      </c>
      <c r="E33" s="8" t="s">
        <v>55</v>
      </c>
      <c r="F33" s="7" t="s">
        <v>128</v>
      </c>
      <c r="G33" s="10" t="s">
        <v>129</v>
      </c>
      <c r="H33" s="7" t="str">
        <f>"000040"</f>
        <v>000040</v>
      </c>
      <c r="I33" s="6">
        <v>43003</v>
      </c>
      <c r="J33" s="7" t="str">
        <f>"000039"</f>
        <v>000039</v>
      </c>
      <c r="K33" s="6">
        <v>43091</v>
      </c>
      <c r="L33" s="7" t="str">
        <f>"000022"</f>
        <v>000022</v>
      </c>
      <c r="M33" s="6">
        <v>43099</v>
      </c>
      <c r="N33" s="7">
        <v>18</v>
      </c>
      <c r="O33" s="7" t="str">
        <f>"004548"</f>
        <v>004548</v>
      </c>
      <c r="P33" s="6">
        <v>43693</v>
      </c>
      <c r="Q33" s="11">
        <v>49.81</v>
      </c>
      <c r="R33" s="11">
        <v>7.2721999999999998</v>
      </c>
      <c r="S33" s="11">
        <v>42.537799999999997</v>
      </c>
      <c r="T33" s="7">
        <v>166</v>
      </c>
      <c r="U33" s="6">
        <v>43704</v>
      </c>
      <c r="V33" s="7">
        <v>9845183166</v>
      </c>
      <c r="W33" s="10" t="s">
        <v>108</v>
      </c>
      <c r="X33" s="7" t="s">
        <v>99</v>
      </c>
      <c r="Y33" s="10" t="s">
        <v>100</v>
      </c>
      <c r="Z33" s="7" t="s">
        <v>53</v>
      </c>
      <c r="AA33" s="10" t="s">
        <v>105</v>
      </c>
      <c r="AB33" s="11">
        <f t="shared" si="1"/>
        <v>0.49810000000000004</v>
      </c>
    </row>
    <row r="34" spans="1:28" x14ac:dyDescent="0.35">
      <c r="A34" s="4">
        <v>6128</v>
      </c>
      <c r="B34" s="5" t="s">
        <v>130</v>
      </c>
      <c r="C34" s="6">
        <v>43714</v>
      </c>
      <c r="D34" s="7">
        <v>196</v>
      </c>
      <c r="E34" s="8" t="s">
        <v>55</v>
      </c>
      <c r="F34" s="7" t="s">
        <v>131</v>
      </c>
      <c r="G34" s="10" t="s">
        <v>132</v>
      </c>
      <c r="H34" s="7" t="str">
        <f>"000039"</f>
        <v>000039</v>
      </c>
      <c r="I34" s="6">
        <v>43003</v>
      </c>
      <c r="J34" s="7" t="str">
        <f>"000038"</f>
        <v>000038</v>
      </c>
      <c r="K34" s="6">
        <v>43091</v>
      </c>
      <c r="L34" s="7" t="str">
        <f>"000019"</f>
        <v>000019</v>
      </c>
      <c r="M34" s="6">
        <v>43099</v>
      </c>
      <c r="N34" s="7">
        <v>18</v>
      </c>
      <c r="O34" s="7" t="str">
        <f>"004867"</f>
        <v>004867</v>
      </c>
      <c r="P34" s="6">
        <v>43707</v>
      </c>
      <c r="Q34" s="11">
        <v>49.88</v>
      </c>
      <c r="R34" s="11">
        <v>7.2786</v>
      </c>
      <c r="S34" s="11">
        <v>42.601399999999998</v>
      </c>
      <c r="T34" s="7">
        <v>175</v>
      </c>
      <c r="U34" s="6">
        <v>43714</v>
      </c>
      <c r="V34" s="7">
        <v>9845183166</v>
      </c>
      <c r="W34" s="10" t="s">
        <v>108</v>
      </c>
      <c r="X34" s="7" t="s">
        <v>99</v>
      </c>
      <c r="Y34" s="10" t="s">
        <v>100</v>
      </c>
      <c r="Z34" s="7" t="s">
        <v>53</v>
      </c>
      <c r="AA34" s="10" t="s">
        <v>105</v>
      </c>
      <c r="AB34" s="11">
        <f t="shared" si="1"/>
        <v>0.49880000000000002</v>
      </c>
    </row>
    <row r="35" spans="1:28" x14ac:dyDescent="0.35">
      <c r="A35" s="4">
        <v>6129</v>
      </c>
      <c r="B35" s="5" t="s">
        <v>130</v>
      </c>
      <c r="C35" s="6">
        <v>43725</v>
      </c>
      <c r="D35" s="7">
        <v>196</v>
      </c>
      <c r="E35" s="8" t="s">
        <v>55</v>
      </c>
      <c r="F35" s="7" t="s">
        <v>133</v>
      </c>
      <c r="G35" s="10" t="s">
        <v>134</v>
      </c>
      <c r="H35" s="7" t="str">
        <f>"000034"</f>
        <v>000034</v>
      </c>
      <c r="I35" s="6">
        <v>43003</v>
      </c>
      <c r="J35" s="7" t="str">
        <f>"000037"</f>
        <v>000037</v>
      </c>
      <c r="K35" s="6">
        <v>43091</v>
      </c>
      <c r="L35" s="7" t="str">
        <f>"000020"</f>
        <v>000020</v>
      </c>
      <c r="M35" s="6">
        <v>43099</v>
      </c>
      <c r="N35" s="7">
        <v>18</v>
      </c>
      <c r="O35" s="7" t="str">
        <f>"004951"</f>
        <v>004951</v>
      </c>
      <c r="P35" s="6">
        <v>43717</v>
      </c>
      <c r="Q35" s="11">
        <v>49.92</v>
      </c>
      <c r="R35" s="11">
        <v>7.2824</v>
      </c>
      <c r="S35" s="11">
        <v>42.637599999999999</v>
      </c>
      <c r="T35" s="7">
        <v>190</v>
      </c>
      <c r="U35" s="6">
        <v>43725</v>
      </c>
      <c r="V35" s="7">
        <v>9845183166</v>
      </c>
      <c r="W35" s="10" t="s">
        <v>108</v>
      </c>
      <c r="X35" s="7" t="s">
        <v>99</v>
      </c>
      <c r="Y35" s="10" t="s">
        <v>100</v>
      </c>
      <c r="Z35" s="7" t="s">
        <v>53</v>
      </c>
      <c r="AA35" s="10" t="s">
        <v>105</v>
      </c>
      <c r="AB35" s="11">
        <f t="shared" si="1"/>
        <v>0.49920000000000003</v>
      </c>
    </row>
    <row r="36" spans="1:28" x14ac:dyDescent="0.35">
      <c r="A36" s="4">
        <v>6130</v>
      </c>
      <c r="B36" s="5" t="s">
        <v>130</v>
      </c>
      <c r="C36" s="6">
        <v>43725</v>
      </c>
      <c r="D36" s="7">
        <v>196</v>
      </c>
      <c r="E36" s="8" t="s">
        <v>55</v>
      </c>
      <c r="F36" s="7" t="s">
        <v>135</v>
      </c>
      <c r="G36" s="10" t="s">
        <v>136</v>
      </c>
      <c r="H36" s="7" t="str">
        <f>"000033"</f>
        <v>000033</v>
      </c>
      <c r="I36" s="6">
        <v>43003</v>
      </c>
      <c r="J36" s="7" t="str">
        <f>"000044"</f>
        <v>000044</v>
      </c>
      <c r="K36" s="6">
        <v>43095</v>
      </c>
      <c r="L36" s="7" t="str">
        <f>"000021"</f>
        <v>000021</v>
      </c>
      <c r="M36" s="6">
        <v>43099</v>
      </c>
      <c r="N36" s="7">
        <v>18</v>
      </c>
      <c r="O36" s="7" t="str">
        <f>"004952"</f>
        <v>004952</v>
      </c>
      <c r="P36" s="6">
        <v>43717</v>
      </c>
      <c r="Q36" s="11">
        <v>49.94</v>
      </c>
      <c r="R36" s="11">
        <v>7.2843</v>
      </c>
      <c r="S36" s="11">
        <v>42.655700000000003</v>
      </c>
      <c r="T36" s="7">
        <v>190</v>
      </c>
      <c r="U36" s="6">
        <v>43725</v>
      </c>
      <c r="V36" s="7">
        <v>9845183166</v>
      </c>
      <c r="W36" s="10" t="s">
        <v>108</v>
      </c>
      <c r="X36" s="7" t="s">
        <v>99</v>
      </c>
      <c r="Y36" s="10" t="s">
        <v>100</v>
      </c>
      <c r="Z36" s="7" t="s">
        <v>53</v>
      </c>
      <c r="AA36" s="10" t="s">
        <v>105</v>
      </c>
      <c r="AB36" s="11">
        <f t="shared" si="1"/>
        <v>0.49939999999999996</v>
      </c>
    </row>
    <row r="37" spans="1:28" x14ac:dyDescent="0.35">
      <c r="A37" s="4">
        <v>6131</v>
      </c>
      <c r="B37" s="5" t="s">
        <v>130</v>
      </c>
      <c r="C37" s="6">
        <v>43729</v>
      </c>
      <c r="D37" s="7">
        <v>196</v>
      </c>
      <c r="E37" s="8" t="s">
        <v>55</v>
      </c>
      <c r="F37" s="7" t="s">
        <v>137</v>
      </c>
      <c r="G37" s="10" t="s">
        <v>138</v>
      </c>
      <c r="H37" s="7" t="str">
        <f>"000037"</f>
        <v>000037</v>
      </c>
      <c r="I37" s="6">
        <v>43003</v>
      </c>
      <c r="J37" s="7" t="str">
        <f>"000045"</f>
        <v>000045</v>
      </c>
      <c r="K37" s="6">
        <v>43095</v>
      </c>
      <c r="L37" s="7" t="str">
        <f>"000026"</f>
        <v>000026</v>
      </c>
      <c r="M37" s="6">
        <v>43103</v>
      </c>
      <c r="N37" s="7">
        <v>18</v>
      </c>
      <c r="O37" s="7" t="str">
        <f>"004953"</f>
        <v>004953</v>
      </c>
      <c r="P37" s="6">
        <v>43717</v>
      </c>
      <c r="Q37" s="11">
        <v>49.89</v>
      </c>
      <c r="R37" s="11">
        <v>7.2698</v>
      </c>
      <c r="S37" s="11">
        <v>42.620199999999997</v>
      </c>
      <c r="T37" s="7">
        <v>194</v>
      </c>
      <c r="U37" s="6">
        <v>43729</v>
      </c>
      <c r="V37" s="7">
        <v>9845183166</v>
      </c>
      <c r="W37" s="10" t="s">
        <v>108</v>
      </c>
      <c r="X37" s="7" t="s">
        <v>99</v>
      </c>
      <c r="Y37" s="10" t="s">
        <v>100</v>
      </c>
      <c r="Z37" s="7" t="s">
        <v>53</v>
      </c>
      <c r="AA37" s="10" t="s">
        <v>105</v>
      </c>
      <c r="AB37" s="11">
        <f t="shared" si="1"/>
        <v>0.49890000000000001</v>
      </c>
    </row>
    <row r="38" spans="1:28" x14ac:dyDescent="0.35">
      <c r="A38" s="4">
        <v>6132</v>
      </c>
      <c r="B38" s="5" t="s">
        <v>139</v>
      </c>
      <c r="C38" s="6">
        <v>43754</v>
      </c>
      <c r="D38" s="4">
        <v>196</v>
      </c>
      <c r="E38" s="8" t="s">
        <v>55</v>
      </c>
      <c r="F38" s="7" t="s">
        <v>140</v>
      </c>
      <c r="G38" s="8" t="s">
        <v>141</v>
      </c>
      <c r="H38" s="7" t="str">
        <f>"000018"</f>
        <v>000018</v>
      </c>
      <c r="I38" s="6">
        <v>43634</v>
      </c>
      <c r="J38" s="7" t="str">
        <f>"000041"</f>
        <v>000041</v>
      </c>
      <c r="K38" s="6">
        <v>43637</v>
      </c>
      <c r="L38" s="7" t="str">
        <f>"000097"</f>
        <v>000097</v>
      </c>
      <c r="M38" s="6">
        <v>43645</v>
      </c>
      <c r="N38" s="7">
        <v>20</v>
      </c>
      <c r="O38" s="7" t="str">
        <f>"005762"</f>
        <v>005762</v>
      </c>
      <c r="P38" s="6">
        <v>43752</v>
      </c>
      <c r="Q38" s="9">
        <v>2.4024000000000001</v>
      </c>
      <c r="R38" s="9">
        <v>5.2650000000000002E-2</v>
      </c>
      <c r="S38" s="9">
        <v>2.3497499999999998</v>
      </c>
      <c r="T38" s="7">
        <v>13</v>
      </c>
      <c r="U38" s="6">
        <v>43754</v>
      </c>
      <c r="V38" s="7">
        <v>8497856286</v>
      </c>
      <c r="W38" s="8" t="s">
        <v>142</v>
      </c>
      <c r="X38" s="7" t="s">
        <v>143</v>
      </c>
      <c r="Y38" s="8" t="s">
        <v>144</v>
      </c>
      <c r="Z38" s="7" t="s">
        <v>53</v>
      </c>
      <c r="AA38" s="8" t="s">
        <v>105</v>
      </c>
      <c r="AB38" s="9">
        <v>2.4024E-2</v>
      </c>
    </row>
    <row r="39" spans="1:28" x14ac:dyDescent="0.35">
      <c r="A39" s="4">
        <v>6133</v>
      </c>
      <c r="B39" s="5" t="s">
        <v>139</v>
      </c>
      <c r="C39" s="6">
        <v>43761</v>
      </c>
      <c r="D39" s="4">
        <v>196</v>
      </c>
      <c r="E39" s="8" t="s">
        <v>55</v>
      </c>
      <c r="F39" s="7" t="s">
        <v>145</v>
      </c>
      <c r="G39" s="8" t="s">
        <v>146</v>
      </c>
      <c r="H39" s="7" t="str">
        <f>"000112"</f>
        <v>000112</v>
      </c>
      <c r="I39" s="6">
        <v>43676</v>
      </c>
      <c r="J39" s="7" t="str">
        <f>"000060"</f>
        <v>000060</v>
      </c>
      <c r="K39" s="6">
        <v>43721</v>
      </c>
      <c r="L39" s="7" t="str">
        <f>"000170"</f>
        <v>000170</v>
      </c>
      <c r="M39" s="6">
        <v>43726</v>
      </c>
      <c r="N39" s="7">
        <v>19</v>
      </c>
      <c r="O39" s="7" t="str">
        <f>"005828"</f>
        <v>005828</v>
      </c>
      <c r="P39" s="6">
        <v>43755</v>
      </c>
      <c r="Q39" s="9">
        <v>54.276049999999998</v>
      </c>
      <c r="R39" s="9">
        <v>6.70695</v>
      </c>
      <c r="S39" s="9">
        <v>47.569099999999999</v>
      </c>
      <c r="T39" s="7">
        <v>13</v>
      </c>
      <c r="U39" s="6">
        <v>43761</v>
      </c>
      <c r="V39" s="7">
        <v>9845183166</v>
      </c>
      <c r="W39" s="8" t="s">
        <v>147</v>
      </c>
      <c r="X39" s="7" t="s">
        <v>148</v>
      </c>
      <c r="Y39" s="8" t="s">
        <v>149</v>
      </c>
      <c r="Z39" s="7" t="s">
        <v>53</v>
      </c>
      <c r="AA39" s="8" t="s">
        <v>105</v>
      </c>
      <c r="AB39" s="9">
        <v>0.54276049999999998</v>
      </c>
    </row>
    <row r="40" spans="1:28" x14ac:dyDescent="0.35">
      <c r="A40" s="4">
        <v>6134</v>
      </c>
      <c r="B40" s="5" t="s">
        <v>139</v>
      </c>
      <c r="C40" s="6">
        <v>43761</v>
      </c>
      <c r="D40" s="4">
        <v>196</v>
      </c>
      <c r="E40" s="8" t="s">
        <v>55</v>
      </c>
      <c r="F40" s="7" t="s">
        <v>150</v>
      </c>
      <c r="G40" s="8" t="s">
        <v>151</v>
      </c>
      <c r="H40" s="7" t="str">
        <f>"000115"</f>
        <v>000115</v>
      </c>
      <c r="I40" s="6">
        <v>43676</v>
      </c>
      <c r="J40" s="7" t="str">
        <f>"000058"</f>
        <v>000058</v>
      </c>
      <c r="K40" s="6">
        <v>43721</v>
      </c>
      <c r="L40" s="7" t="str">
        <f>"000169"</f>
        <v>000169</v>
      </c>
      <c r="M40" s="6">
        <v>43726</v>
      </c>
      <c r="N40" s="7">
        <v>19</v>
      </c>
      <c r="O40" s="7" t="str">
        <f>"005829"</f>
        <v>005829</v>
      </c>
      <c r="P40" s="6">
        <v>43755</v>
      </c>
      <c r="Q40" s="9">
        <v>54.51</v>
      </c>
      <c r="R40" s="9">
        <v>6.5062499999999996</v>
      </c>
      <c r="S40" s="9">
        <v>48.003749999999997</v>
      </c>
      <c r="T40" s="7">
        <v>13</v>
      </c>
      <c r="U40" s="6">
        <v>43761</v>
      </c>
      <c r="V40" s="7">
        <v>9845183166</v>
      </c>
      <c r="W40" s="8" t="s">
        <v>147</v>
      </c>
      <c r="X40" s="7" t="s">
        <v>152</v>
      </c>
      <c r="Y40" s="8" t="s">
        <v>153</v>
      </c>
      <c r="Z40" s="7" t="s">
        <v>53</v>
      </c>
      <c r="AA40" s="8" t="s">
        <v>105</v>
      </c>
      <c r="AB40" s="9">
        <v>0.54510000000000003</v>
      </c>
    </row>
    <row r="41" spans="1:28" x14ac:dyDescent="0.35">
      <c r="A41" s="4">
        <v>6135</v>
      </c>
      <c r="B41" s="5" t="s">
        <v>139</v>
      </c>
      <c r="C41" s="6">
        <v>43761</v>
      </c>
      <c r="D41" s="4">
        <v>196</v>
      </c>
      <c r="E41" s="8" t="s">
        <v>55</v>
      </c>
      <c r="F41" s="7" t="s">
        <v>154</v>
      </c>
      <c r="G41" s="8" t="s">
        <v>155</v>
      </c>
      <c r="H41" s="7" t="str">
        <f>"000114"</f>
        <v>000114</v>
      </c>
      <c r="I41" s="6">
        <v>43676</v>
      </c>
      <c r="J41" s="7" t="str">
        <f>"000059"</f>
        <v>000059</v>
      </c>
      <c r="K41" s="6">
        <v>43721</v>
      </c>
      <c r="L41" s="7" t="str">
        <f>"000171"</f>
        <v>000171</v>
      </c>
      <c r="M41" s="6">
        <v>43726</v>
      </c>
      <c r="N41" s="7">
        <v>19</v>
      </c>
      <c r="O41" s="7" t="str">
        <f>"005830"</f>
        <v>005830</v>
      </c>
      <c r="P41" s="6">
        <v>43755</v>
      </c>
      <c r="Q41" s="9">
        <v>54.510849999999998</v>
      </c>
      <c r="R41" s="9">
        <v>6.2237999999999998</v>
      </c>
      <c r="S41" s="9">
        <v>48.287050000000001</v>
      </c>
      <c r="T41" s="7">
        <v>13</v>
      </c>
      <c r="U41" s="6">
        <v>43761</v>
      </c>
      <c r="V41" s="7">
        <v>9845183166</v>
      </c>
      <c r="W41" s="8" t="s">
        <v>147</v>
      </c>
      <c r="X41" s="7" t="s">
        <v>152</v>
      </c>
      <c r="Y41" s="8" t="s">
        <v>153</v>
      </c>
      <c r="Z41" s="7" t="s">
        <v>53</v>
      </c>
      <c r="AA41" s="8" t="s">
        <v>105</v>
      </c>
      <c r="AB41" s="9">
        <v>0.5451085</v>
      </c>
    </row>
    <row r="42" spans="1:28" x14ac:dyDescent="0.35">
      <c r="A42" s="4">
        <v>6136</v>
      </c>
      <c r="B42" s="5" t="s">
        <v>139</v>
      </c>
      <c r="C42" s="6">
        <v>43762</v>
      </c>
      <c r="D42" s="4">
        <v>196</v>
      </c>
      <c r="E42" s="8" t="s">
        <v>55</v>
      </c>
      <c r="F42" s="7" t="s">
        <v>156</v>
      </c>
      <c r="G42" s="8" t="s">
        <v>157</v>
      </c>
      <c r="H42" s="7" t="str">
        <f>"000038"</f>
        <v>000038</v>
      </c>
      <c r="I42" s="6">
        <v>43003</v>
      </c>
      <c r="J42" s="7" t="str">
        <f>"000041"</f>
        <v>000041</v>
      </c>
      <c r="K42" s="6">
        <v>43091</v>
      </c>
      <c r="L42" s="7" t="str">
        <f>"000042"</f>
        <v>000042</v>
      </c>
      <c r="M42" s="6">
        <v>43130</v>
      </c>
      <c r="N42" s="7">
        <v>18</v>
      </c>
      <c r="O42" s="7" t="str">
        <f>"005867"</f>
        <v>005867</v>
      </c>
      <c r="P42" s="6">
        <v>43757</v>
      </c>
      <c r="Q42" s="9">
        <v>49.86</v>
      </c>
      <c r="R42" s="9">
        <v>7.2667000000000002</v>
      </c>
      <c r="S42" s="9">
        <v>42.593299999999999</v>
      </c>
      <c r="T42" s="7">
        <v>13</v>
      </c>
      <c r="U42" s="6">
        <v>43762</v>
      </c>
      <c r="V42" s="7">
        <v>9845183166</v>
      </c>
      <c r="W42" s="8" t="s">
        <v>108</v>
      </c>
      <c r="X42" s="7" t="s">
        <v>99</v>
      </c>
      <c r="Y42" s="8" t="s">
        <v>100</v>
      </c>
      <c r="Z42" s="7" t="s">
        <v>53</v>
      </c>
      <c r="AA42" s="8" t="s">
        <v>105</v>
      </c>
      <c r="AB42" s="9">
        <v>0.49859999999999999</v>
      </c>
    </row>
    <row r="43" spans="1:28" x14ac:dyDescent="0.35">
      <c r="A43" s="4">
        <v>6137</v>
      </c>
      <c r="B43" s="5" t="s">
        <v>158</v>
      </c>
      <c r="C43" s="6">
        <v>43781</v>
      </c>
      <c r="D43" s="4">
        <v>196</v>
      </c>
      <c r="E43" s="8" t="s">
        <v>55</v>
      </c>
      <c r="F43" s="7" t="s">
        <v>159</v>
      </c>
      <c r="G43" s="8" t="s">
        <v>160</v>
      </c>
      <c r="H43" s="7" t="str">
        <f>"000274"</f>
        <v>000274</v>
      </c>
      <c r="I43" s="6">
        <v>42825</v>
      </c>
      <c r="J43" s="7" t="str">
        <f>"000024"</f>
        <v>000024</v>
      </c>
      <c r="K43" s="6">
        <v>42872</v>
      </c>
      <c r="L43" s="7" t="str">
        <f>"000068"</f>
        <v>000068</v>
      </c>
      <c r="M43" s="6">
        <v>42886</v>
      </c>
      <c r="N43" s="7">
        <v>17</v>
      </c>
      <c r="O43" s="7" t="str">
        <f>"005956"</f>
        <v>005956</v>
      </c>
      <c r="P43" s="6">
        <v>43763</v>
      </c>
      <c r="Q43" s="9">
        <v>39.96</v>
      </c>
      <c r="R43" s="9">
        <v>6.6146000000000003</v>
      </c>
      <c r="S43" s="9">
        <v>33.345399999999998</v>
      </c>
      <c r="T43" s="7">
        <v>13</v>
      </c>
      <c r="U43" s="6">
        <v>43781</v>
      </c>
      <c r="V43" s="7">
        <v>9845183163</v>
      </c>
      <c r="W43" s="8" t="s">
        <v>39</v>
      </c>
      <c r="X43" s="7" t="s">
        <v>103</v>
      </c>
      <c r="Y43" s="8" t="s">
        <v>104</v>
      </c>
      <c r="Z43" s="7" t="s">
        <v>53</v>
      </c>
      <c r="AA43" s="8" t="s">
        <v>105</v>
      </c>
      <c r="AB43" s="9">
        <v>0.39960000000000001</v>
      </c>
    </row>
    <row r="44" spans="1:28" x14ac:dyDescent="0.35">
      <c r="A44" s="4">
        <v>6138</v>
      </c>
      <c r="B44" s="5" t="s">
        <v>158</v>
      </c>
      <c r="C44" s="6">
        <v>43788</v>
      </c>
      <c r="D44" s="4">
        <v>196</v>
      </c>
      <c r="E44" s="8" t="s">
        <v>55</v>
      </c>
      <c r="F44" s="7" t="s">
        <v>161</v>
      </c>
      <c r="G44" s="8" t="s">
        <v>162</v>
      </c>
      <c r="H44" s="7" t="str">
        <f>"000284"</f>
        <v>000284</v>
      </c>
      <c r="I44" s="6">
        <v>42825</v>
      </c>
      <c r="J44" s="7" t="str">
        <f>"000018"</f>
        <v>000018</v>
      </c>
      <c r="K44" s="6">
        <v>42853</v>
      </c>
      <c r="L44" s="7" t="str">
        <f>"000023"</f>
        <v>000023</v>
      </c>
      <c r="M44" s="6">
        <v>42858</v>
      </c>
      <c r="N44" s="7">
        <v>17</v>
      </c>
      <c r="O44" s="7" t="str">
        <f>"006183"</f>
        <v>006183</v>
      </c>
      <c r="P44" s="6">
        <v>43781</v>
      </c>
      <c r="Q44" s="9">
        <v>49.96</v>
      </c>
      <c r="R44" s="9">
        <v>8.2745999999999995</v>
      </c>
      <c r="S44" s="9">
        <v>41.685400000000001</v>
      </c>
      <c r="T44" s="7">
        <v>13</v>
      </c>
      <c r="U44" s="6">
        <v>43788</v>
      </c>
      <c r="V44" s="7">
        <v>9845183166</v>
      </c>
      <c r="W44" s="8" t="s">
        <v>39</v>
      </c>
      <c r="X44" s="7" t="s">
        <v>163</v>
      </c>
      <c r="Y44" s="8" t="s">
        <v>164</v>
      </c>
      <c r="Z44" s="7" t="s">
        <v>53</v>
      </c>
      <c r="AA44" s="8" t="s">
        <v>105</v>
      </c>
      <c r="AB44" s="9">
        <v>0.49959999999999999</v>
      </c>
    </row>
    <row r="45" spans="1:28" x14ac:dyDescent="0.35">
      <c r="A45" s="4">
        <v>6139</v>
      </c>
      <c r="B45" s="5" t="s">
        <v>158</v>
      </c>
      <c r="C45" s="6">
        <v>43789</v>
      </c>
      <c r="D45" s="4">
        <v>196</v>
      </c>
      <c r="E45" s="8" t="s">
        <v>55</v>
      </c>
      <c r="F45" s="7" t="s">
        <v>165</v>
      </c>
      <c r="G45" s="8" t="s">
        <v>166</v>
      </c>
      <c r="H45" s="7" t="str">
        <f>"000288"</f>
        <v>000288</v>
      </c>
      <c r="I45" s="6">
        <v>42825</v>
      </c>
      <c r="J45" s="7" t="str">
        <f>"000016"</f>
        <v>000016</v>
      </c>
      <c r="K45" s="6">
        <v>42852</v>
      </c>
      <c r="L45" s="7" t="str">
        <f>"000031"</f>
        <v>000031</v>
      </c>
      <c r="M45" s="6">
        <v>42858</v>
      </c>
      <c r="N45" s="7">
        <v>17</v>
      </c>
      <c r="O45" s="7" t="str">
        <f>"006188"</f>
        <v>006188</v>
      </c>
      <c r="P45" s="6">
        <v>43781</v>
      </c>
      <c r="Q45" s="9">
        <v>47.52</v>
      </c>
      <c r="R45" s="9">
        <v>7.9151999999999996</v>
      </c>
      <c r="S45" s="9">
        <v>39.604799999999997</v>
      </c>
      <c r="T45" s="7">
        <v>13</v>
      </c>
      <c r="U45" s="6">
        <v>43789</v>
      </c>
      <c r="V45" s="7">
        <v>9845183166</v>
      </c>
      <c r="W45" s="8" t="s">
        <v>39</v>
      </c>
      <c r="X45" s="7" t="s">
        <v>99</v>
      </c>
      <c r="Y45" s="8" t="s">
        <v>100</v>
      </c>
      <c r="Z45" s="7" t="s">
        <v>53</v>
      </c>
      <c r="AA45" s="8" t="s">
        <v>105</v>
      </c>
      <c r="AB45" s="9">
        <v>0.47520000000000001</v>
      </c>
    </row>
    <row r="46" spans="1:28" x14ac:dyDescent="0.35">
      <c r="A46" s="4">
        <v>6140</v>
      </c>
      <c r="B46" s="5" t="s">
        <v>158</v>
      </c>
      <c r="C46" s="6">
        <v>43790</v>
      </c>
      <c r="D46" s="4">
        <v>196</v>
      </c>
      <c r="E46" s="8" t="s">
        <v>55</v>
      </c>
      <c r="F46" s="7" t="s">
        <v>167</v>
      </c>
      <c r="G46" s="8" t="s">
        <v>168</v>
      </c>
      <c r="H46" s="7" t="str">
        <f>"000113"</f>
        <v>000113</v>
      </c>
      <c r="I46" s="6">
        <v>43676</v>
      </c>
      <c r="J46" s="7" t="str">
        <f>"000065"</f>
        <v>000065</v>
      </c>
      <c r="K46" s="6">
        <v>43732</v>
      </c>
      <c r="L46" s="7" t="str">
        <f>"000188"</f>
        <v>000188</v>
      </c>
      <c r="M46" s="6">
        <v>43738</v>
      </c>
      <c r="N46" s="7">
        <v>19</v>
      </c>
      <c r="O46" s="7" t="str">
        <f>"006196"</f>
        <v>006196</v>
      </c>
      <c r="P46" s="6">
        <v>43781</v>
      </c>
      <c r="Q46" s="9">
        <v>54.492199999999997</v>
      </c>
      <c r="R46" s="9">
        <v>6.7766000000000002</v>
      </c>
      <c r="S46" s="9">
        <v>47.715600000000002</v>
      </c>
      <c r="T46" s="7">
        <v>13</v>
      </c>
      <c r="U46" s="6">
        <v>43790</v>
      </c>
      <c r="V46" s="7">
        <v>9845183166</v>
      </c>
      <c r="W46" s="8" t="s">
        <v>147</v>
      </c>
      <c r="X46" s="7" t="s">
        <v>148</v>
      </c>
      <c r="Y46" s="8" t="s">
        <v>149</v>
      </c>
      <c r="Z46" s="7" t="s">
        <v>53</v>
      </c>
      <c r="AA46" s="8" t="s">
        <v>105</v>
      </c>
      <c r="AB46" s="9">
        <v>0.54492200000000002</v>
      </c>
    </row>
    <row r="47" spans="1:28" x14ac:dyDescent="0.35">
      <c r="A47" s="4">
        <v>6141</v>
      </c>
      <c r="B47" s="5" t="s">
        <v>158</v>
      </c>
      <c r="C47" s="6">
        <v>43795</v>
      </c>
      <c r="D47" s="4">
        <v>196</v>
      </c>
      <c r="E47" s="8" t="s">
        <v>55</v>
      </c>
      <c r="F47" s="7" t="s">
        <v>62</v>
      </c>
      <c r="G47" s="8" t="s">
        <v>63</v>
      </c>
      <c r="H47" s="7" t="str">
        <f>"000006"</f>
        <v>000006</v>
      </c>
      <c r="I47" s="6">
        <v>42929</v>
      </c>
      <c r="J47" s="7" t="str">
        <f>"000048"</f>
        <v>000048</v>
      </c>
      <c r="K47" s="6">
        <v>43782</v>
      </c>
      <c r="L47" s="7" t="str">
        <f>"000046"</f>
        <v>000046</v>
      </c>
      <c r="M47" s="6">
        <v>43783</v>
      </c>
      <c r="N47" s="7">
        <v>16</v>
      </c>
      <c r="O47" s="7" t="str">
        <f>"006338"</f>
        <v>006338</v>
      </c>
      <c r="P47" s="6">
        <v>43791</v>
      </c>
      <c r="Q47" s="9">
        <v>4.9695600000000004</v>
      </c>
      <c r="R47" s="9">
        <v>0.76114999999999999</v>
      </c>
      <c r="S47" s="9">
        <v>4.2084099999999998</v>
      </c>
      <c r="T47" s="7">
        <v>13</v>
      </c>
      <c r="U47" s="6">
        <v>43795</v>
      </c>
      <c r="V47" s="7">
        <v>9632977771</v>
      </c>
      <c r="W47" s="8" t="s">
        <v>52</v>
      </c>
      <c r="X47" s="7" t="s">
        <v>34</v>
      </c>
      <c r="Y47" s="8" t="s">
        <v>33</v>
      </c>
      <c r="Z47" s="7" t="s">
        <v>42</v>
      </c>
      <c r="AA47" s="8" t="s">
        <v>43</v>
      </c>
      <c r="AB47" s="9">
        <v>4.9695600000000006E-2</v>
      </c>
    </row>
    <row r="48" spans="1:28" x14ac:dyDescent="0.35">
      <c r="A48" s="4">
        <v>6142</v>
      </c>
      <c r="B48" s="5" t="s">
        <v>169</v>
      </c>
      <c r="C48" s="6">
        <v>43805</v>
      </c>
      <c r="D48" s="4">
        <v>196</v>
      </c>
      <c r="E48" s="8" t="s">
        <v>55</v>
      </c>
      <c r="F48" s="7" t="s">
        <v>170</v>
      </c>
      <c r="G48" s="8" t="s">
        <v>171</v>
      </c>
      <c r="H48" s="7" t="str">
        <f>"000173"</f>
        <v>000173</v>
      </c>
      <c r="I48" s="6">
        <v>42782</v>
      </c>
      <c r="J48" s="7" t="str">
        <f>"000121"</f>
        <v>000121</v>
      </c>
      <c r="K48" s="6">
        <v>42825</v>
      </c>
      <c r="L48" s="7" t="str">
        <f>"000303"</f>
        <v>000303</v>
      </c>
      <c r="M48" s="6">
        <v>42825</v>
      </c>
      <c r="N48" s="7">
        <v>17</v>
      </c>
      <c r="O48" s="7" t="str">
        <f>"006433"</f>
        <v>006433</v>
      </c>
      <c r="P48" s="6">
        <v>43795</v>
      </c>
      <c r="Q48" s="9">
        <v>49.95</v>
      </c>
      <c r="R48" s="9">
        <v>8.2732500000000009</v>
      </c>
      <c r="S48" s="9">
        <v>41.676749999999998</v>
      </c>
      <c r="T48" s="7">
        <v>13</v>
      </c>
      <c r="U48" s="6">
        <v>43805</v>
      </c>
      <c r="V48" s="7">
        <v>9845183166</v>
      </c>
      <c r="W48" s="8" t="s">
        <v>39</v>
      </c>
      <c r="X48" s="7" t="s">
        <v>163</v>
      </c>
      <c r="Y48" s="8" t="s">
        <v>164</v>
      </c>
      <c r="Z48" s="7" t="s">
        <v>53</v>
      </c>
      <c r="AA48" s="8" t="s">
        <v>105</v>
      </c>
      <c r="AB48" s="9">
        <v>0.49950000000000006</v>
      </c>
    </row>
    <row r="49" spans="1:28" x14ac:dyDescent="0.35">
      <c r="A49" s="4">
        <v>6143</v>
      </c>
      <c r="B49" s="5" t="s">
        <v>169</v>
      </c>
      <c r="C49" s="6">
        <v>43805</v>
      </c>
      <c r="D49" s="4">
        <v>196</v>
      </c>
      <c r="E49" s="8" t="s">
        <v>55</v>
      </c>
      <c r="F49" s="7" t="s">
        <v>172</v>
      </c>
      <c r="G49" s="8" t="s">
        <v>173</v>
      </c>
      <c r="H49" s="7" t="str">
        <f>"000171"</f>
        <v>000171</v>
      </c>
      <c r="I49" s="6">
        <v>42782</v>
      </c>
      <c r="J49" s="7" t="str">
        <f>"000113"</f>
        <v>000113</v>
      </c>
      <c r="K49" s="6">
        <v>42825</v>
      </c>
      <c r="L49" s="7" t="str">
        <f>"000308"</f>
        <v>000308</v>
      </c>
      <c r="M49" s="6">
        <v>42825</v>
      </c>
      <c r="N49" s="7">
        <v>17</v>
      </c>
      <c r="O49" s="7" t="str">
        <f>"006434"</f>
        <v>006434</v>
      </c>
      <c r="P49" s="6">
        <v>43795</v>
      </c>
      <c r="Q49" s="9">
        <v>49.94</v>
      </c>
      <c r="R49" s="9">
        <v>8.2719000000000005</v>
      </c>
      <c r="S49" s="9">
        <v>41.668100000000003</v>
      </c>
      <c r="T49" s="7">
        <v>13</v>
      </c>
      <c r="U49" s="6">
        <v>43805</v>
      </c>
      <c r="V49" s="7">
        <v>9845183166</v>
      </c>
      <c r="W49" s="8" t="s">
        <v>39</v>
      </c>
      <c r="X49" s="7" t="s">
        <v>163</v>
      </c>
      <c r="Y49" s="8" t="s">
        <v>164</v>
      </c>
      <c r="Z49" s="7" t="s">
        <v>53</v>
      </c>
      <c r="AA49" s="8" t="s">
        <v>105</v>
      </c>
      <c r="AB49" s="9">
        <v>0.49939999999999996</v>
      </c>
    </row>
    <row r="50" spans="1:28" x14ac:dyDescent="0.35">
      <c r="A50" s="4">
        <v>6144</v>
      </c>
      <c r="B50" s="5" t="s">
        <v>169</v>
      </c>
      <c r="C50" s="6">
        <v>43805</v>
      </c>
      <c r="D50" s="4">
        <v>196</v>
      </c>
      <c r="E50" s="8" t="s">
        <v>55</v>
      </c>
      <c r="F50" s="7" t="s">
        <v>174</v>
      </c>
      <c r="G50" s="8" t="s">
        <v>175</v>
      </c>
      <c r="H50" s="7" t="str">
        <f>"000172"</f>
        <v>000172</v>
      </c>
      <c r="I50" s="6">
        <v>42782</v>
      </c>
      <c r="J50" s="7" t="str">
        <f>"000119"</f>
        <v>000119</v>
      </c>
      <c r="K50" s="6">
        <v>42825</v>
      </c>
      <c r="L50" s="7" t="str">
        <f>"000309"</f>
        <v>000309</v>
      </c>
      <c r="M50" s="6">
        <v>42825</v>
      </c>
      <c r="N50" s="7">
        <v>17</v>
      </c>
      <c r="O50" s="7" t="str">
        <f>"006435"</f>
        <v>006435</v>
      </c>
      <c r="P50" s="6">
        <v>43795</v>
      </c>
      <c r="Q50" s="9">
        <v>49.95</v>
      </c>
      <c r="R50" s="9">
        <v>8.2735000000000003</v>
      </c>
      <c r="S50" s="9">
        <v>41.676499999999997</v>
      </c>
      <c r="T50" s="7">
        <v>13</v>
      </c>
      <c r="U50" s="6">
        <v>43805</v>
      </c>
      <c r="V50" s="7">
        <v>9845183166</v>
      </c>
      <c r="W50" s="8" t="s">
        <v>39</v>
      </c>
      <c r="X50" s="7" t="s">
        <v>163</v>
      </c>
      <c r="Y50" s="8" t="s">
        <v>164</v>
      </c>
      <c r="Z50" s="7" t="s">
        <v>53</v>
      </c>
      <c r="AA50" s="8" t="s">
        <v>105</v>
      </c>
      <c r="AB50" s="9">
        <v>0.49950000000000006</v>
      </c>
    </row>
    <row r="51" spans="1:28" x14ac:dyDescent="0.35">
      <c r="A51" s="4">
        <v>6145</v>
      </c>
      <c r="B51" s="5" t="s">
        <v>169</v>
      </c>
      <c r="C51" s="6">
        <v>43805</v>
      </c>
      <c r="D51" s="4">
        <v>196</v>
      </c>
      <c r="E51" s="8" t="s">
        <v>55</v>
      </c>
      <c r="F51" s="7" t="s">
        <v>176</v>
      </c>
      <c r="G51" s="8" t="s">
        <v>177</v>
      </c>
      <c r="H51" s="7" t="str">
        <f>"000134"</f>
        <v>000134</v>
      </c>
      <c r="I51" s="6">
        <v>42667</v>
      </c>
      <c r="J51" s="7" t="str">
        <f>"000091"</f>
        <v>000091</v>
      </c>
      <c r="K51" s="6">
        <v>42734</v>
      </c>
      <c r="L51" s="7" t="str">
        <f>"000238"</f>
        <v>000238</v>
      </c>
      <c r="M51" s="6">
        <v>42737</v>
      </c>
      <c r="N51" s="7">
        <v>17</v>
      </c>
      <c r="O51" s="7" t="str">
        <f>"006439"</f>
        <v>006439</v>
      </c>
      <c r="P51" s="6">
        <v>43795</v>
      </c>
      <c r="Q51" s="9">
        <v>49.95</v>
      </c>
      <c r="R51" s="9">
        <v>8.2840000000000007</v>
      </c>
      <c r="S51" s="9">
        <v>41.665999999999997</v>
      </c>
      <c r="T51" s="7">
        <v>13</v>
      </c>
      <c r="U51" s="6">
        <v>43805</v>
      </c>
      <c r="V51" s="7">
        <v>9845183166</v>
      </c>
      <c r="W51" s="8" t="s">
        <v>39</v>
      </c>
      <c r="X51" s="7" t="s">
        <v>99</v>
      </c>
      <c r="Y51" s="8" t="s">
        <v>100</v>
      </c>
      <c r="Z51" s="7" t="s">
        <v>53</v>
      </c>
      <c r="AA51" s="8" t="s">
        <v>105</v>
      </c>
      <c r="AB51" s="9">
        <v>0.49950000000000006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2020-01-30T07:08:55Z</dcterms:modified>
</cp:coreProperties>
</file>