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8" i="1" l="1"/>
  <c r="L58" i="1"/>
  <c r="J58" i="1"/>
  <c r="H58" i="1"/>
  <c r="O57" i="1"/>
  <c r="L57" i="1"/>
  <c r="J57" i="1"/>
  <c r="H57" i="1"/>
  <c r="O56" i="1"/>
  <c r="L56" i="1"/>
  <c r="J56" i="1"/>
  <c r="H56" i="1"/>
  <c r="O55" i="1"/>
  <c r="L55" i="1"/>
  <c r="J55" i="1"/>
  <c r="H55" i="1"/>
  <c r="O54" i="1"/>
  <c r="L54" i="1"/>
  <c r="J54" i="1"/>
  <c r="H54" i="1"/>
  <c r="O53" i="1"/>
  <c r="L53" i="1"/>
  <c r="J53" i="1"/>
  <c r="H53" i="1"/>
  <c r="AB52" i="1"/>
  <c r="O52" i="1"/>
  <c r="L52" i="1"/>
  <c r="J52" i="1"/>
  <c r="H52" i="1"/>
  <c r="AB51" i="1"/>
  <c r="O51" i="1"/>
  <c r="L51" i="1"/>
  <c r="J51" i="1"/>
  <c r="H51" i="1"/>
  <c r="AB50" i="1"/>
  <c r="O50" i="1"/>
  <c r="L50" i="1"/>
  <c r="J50" i="1"/>
  <c r="H50" i="1"/>
  <c r="AB49" i="1"/>
  <c r="O49" i="1"/>
  <c r="L49" i="1"/>
  <c r="J49" i="1"/>
  <c r="H49" i="1"/>
  <c r="AB48" i="1"/>
  <c r="O48" i="1"/>
  <c r="L48" i="1"/>
  <c r="J48" i="1"/>
  <c r="H48" i="1"/>
  <c r="AB47" i="1"/>
  <c r="O47" i="1"/>
  <c r="L47" i="1"/>
  <c r="J47" i="1"/>
  <c r="H47" i="1"/>
  <c r="AB46" i="1"/>
  <c r="O46" i="1"/>
  <c r="L46" i="1"/>
  <c r="J46" i="1"/>
  <c r="H46" i="1"/>
  <c r="AB45" i="1"/>
  <c r="O45" i="1"/>
  <c r="L45" i="1"/>
  <c r="J45" i="1"/>
  <c r="H45" i="1"/>
  <c r="AB44" i="1"/>
  <c r="O44" i="1"/>
  <c r="L44" i="1"/>
  <c r="J44" i="1"/>
  <c r="H44" i="1"/>
  <c r="AB43" i="1"/>
  <c r="O43" i="1"/>
  <c r="L43" i="1"/>
  <c r="J43" i="1"/>
  <c r="H43" i="1"/>
  <c r="AB42" i="1"/>
  <c r="O42" i="1"/>
  <c r="L42" i="1"/>
  <c r="J42" i="1"/>
  <c r="H42" i="1"/>
  <c r="AB41" i="1"/>
  <c r="O41" i="1"/>
  <c r="L41" i="1"/>
  <c r="J41" i="1"/>
  <c r="H41" i="1"/>
  <c r="AB40" i="1"/>
  <c r="O40" i="1"/>
  <c r="L40" i="1"/>
  <c r="J40" i="1"/>
  <c r="H40" i="1"/>
  <c r="AB39" i="1"/>
  <c r="O39" i="1"/>
  <c r="L39" i="1"/>
  <c r="J39" i="1"/>
  <c r="H39" i="1"/>
  <c r="AB38" i="1"/>
  <c r="O38" i="1"/>
  <c r="L38" i="1"/>
  <c r="J38" i="1"/>
  <c r="H38" i="1"/>
  <c r="AB37" i="1"/>
  <c r="O37" i="1"/>
  <c r="L37" i="1"/>
  <c r="J37" i="1"/>
  <c r="H37" i="1"/>
  <c r="AB36" i="1"/>
  <c r="O36" i="1"/>
  <c r="L36" i="1"/>
  <c r="J36" i="1"/>
  <c r="H36" i="1"/>
  <c r="AB35" i="1"/>
  <c r="O35" i="1"/>
  <c r="L35" i="1"/>
  <c r="J35" i="1"/>
  <c r="H35" i="1"/>
  <c r="AB34" i="1"/>
  <c r="O34" i="1"/>
  <c r="L34" i="1"/>
  <c r="J34" i="1"/>
  <c r="H34" i="1"/>
  <c r="O33" i="1"/>
  <c r="L33" i="1"/>
  <c r="J33" i="1"/>
  <c r="H33" i="1"/>
  <c r="O32" i="1"/>
  <c r="L32" i="1"/>
  <c r="J32" i="1"/>
  <c r="H32" i="1"/>
  <c r="O31" i="1"/>
  <c r="L31" i="1"/>
  <c r="J31" i="1"/>
  <c r="H31" i="1"/>
  <c r="O30" i="1"/>
  <c r="L30" i="1"/>
  <c r="J30" i="1"/>
  <c r="H30" i="1"/>
  <c r="O29" i="1"/>
  <c r="L29" i="1"/>
  <c r="J29" i="1"/>
  <c r="H29" i="1"/>
  <c r="O28" i="1"/>
  <c r="L28" i="1"/>
  <c r="J28" i="1"/>
  <c r="H28" i="1"/>
  <c r="O27" i="1"/>
  <c r="L27" i="1"/>
  <c r="J27" i="1"/>
  <c r="H27" i="1"/>
  <c r="O26" i="1"/>
  <c r="L26" i="1"/>
  <c r="J26" i="1"/>
  <c r="H26" i="1"/>
  <c r="O25" i="1"/>
  <c r="L25" i="1"/>
  <c r="J25" i="1"/>
  <c r="H25" i="1"/>
  <c r="AB24" i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<sst xmlns="http://schemas.openxmlformats.org/spreadsheetml/2006/main" count="541" uniqueCount="171">
  <si>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</si>
  <si>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</si>
  <si>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</si>
  <si>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</si>
  <si>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</si>
  <si>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</si>
  <si>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</si>
  <si>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</si>
  <si>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</si>
  <si>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</si>
  <si>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</si>
  <si>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</si>
  <si>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</si>
  <si>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</si>
  <si>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</si>
  <si>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</si>
  <si>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</si>
  <si>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</si>
  <si>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</si>
  <si>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</si>
  <si>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</si>
  <si>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</si>
  <si>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</si>
  <si>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</si>
  <si>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</si>
  <si>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</si>
  <si>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</si>
  <si>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</si>
  <si>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</si>
  <si>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June</t>
  </si>
  <si>
    <t>P1771</t>
  </si>
  <si>
    <t>Zone Works - POW Works</t>
  </si>
  <si>
    <t>May</t>
  </si>
  <si>
    <t>M/s.KRIDL</t>
  </si>
  <si>
    <t>P2415</t>
  </si>
  <si>
    <t>Reserve fund for TandF Committee</t>
  </si>
  <si>
    <t>M and R to Street Lights - Replacement of Burnt Bulbs etc. (Package)</t>
  </si>
  <si>
    <t>P0300</t>
  </si>
  <si>
    <t>P3409</t>
  </si>
  <si>
    <t>SFC Untied SC-SP/TSP Grant works</t>
  </si>
  <si>
    <t>P3111</t>
  </si>
  <si>
    <t>State Finance Commission Untied Grant Works</t>
  </si>
  <si>
    <t>P3295</t>
  </si>
  <si>
    <t>14th Finance Commission Works - UGD Works</t>
  </si>
  <si>
    <t>P1878</t>
  </si>
  <si>
    <t>18per - Works (Bhagyajyothi, Sooru / Neeru Yojane and General) (54 Lakhs / New Wards)</t>
  </si>
  <si>
    <t>KRIDL</t>
  </si>
  <si>
    <t>ddo009</t>
  </si>
  <si>
    <t xml:space="preserve"> Executive Engineer (Electrical) Rajarajeshwari Nagar Zone</t>
  </si>
  <si>
    <t>M/S KRIDL</t>
  </si>
  <si>
    <t>ddo012</t>
  </si>
  <si>
    <t xml:space="preserve"> Assistant Executive Engineer Kengeri Sub Division Rajarajeshwari Nagar Zone</t>
  </si>
  <si>
    <t>M/S Mecadez Core Technologies Pvt Ltd</t>
  </si>
  <si>
    <t>Civil Quality Consultants and Engineers</t>
  </si>
  <si>
    <t>M/S.KRIDL</t>
  </si>
  <si>
    <t>Hemmige Pura</t>
  </si>
  <si>
    <t>198-18-000014</t>
  </si>
  <si>
    <t>Providing drinking water supply through tankers to water scarcity areas in Hemmigapura ward no 198.</t>
  </si>
  <si>
    <t>P3333</t>
  </si>
  <si>
    <t>Special Development works at Ward No.07,08,21,33,58,66,68,75,76,91,94,95,110,116,153,180,190,198,88,18 ( 20 wards Rs.5.00 Cr. Each)</t>
  </si>
  <si>
    <t>198-16-000001</t>
  </si>
  <si>
    <t>Operation and Maintenance of Street Light System in Ward No.198-Hemmigepura(P-Pattanagere ) Package R36 of RajarajeshwariNagar Zone.</t>
  </si>
  <si>
    <t>M/S Niharika Electricals</t>
  </si>
  <si>
    <t>198-16-000004</t>
  </si>
  <si>
    <t>Operation and Maintenance of Street Light System in Ward No.198-Hemmigepura(P-Talaghattapura) Package R39 of RajarajeshwariNagar Zone.</t>
  </si>
  <si>
    <t>198-16-000003</t>
  </si>
  <si>
    <t>Operation and Maintenance of Street Light System in Ward No.198-Hemmigepura(P-Kodipalya) Package R38 of RajarajeshwariNagar Zone.</t>
  </si>
  <si>
    <t>M/S Mamatha Electricals,</t>
  </si>
  <si>
    <t>198-18-000006</t>
  </si>
  <si>
    <t>Improvements to drains in 2nd main and 2nd cross Sri Prakash House road in BCMC Layout in Hemmmigepura ward no 198</t>
  </si>
  <si>
    <t>198-16-000002</t>
  </si>
  <si>
    <t>Operation and Maintenance of Street Light System in Ward No.198-Hemmigepura(P-Mylasandra) Package R37 of RajarajeshwariNagar Zone.</t>
  </si>
  <si>
    <t>M/s Sri Sheshadri Electricals</t>
  </si>
  <si>
    <t>198-19-000004</t>
  </si>
  <si>
    <t>Improvement and Development of Drains at Pattanagere Colony Main Road In Ward No 198</t>
  </si>
  <si>
    <t>198-19-000005</t>
  </si>
  <si>
    <t>Improvement and Development of Drains at Pattanagere Colony Main Road and Cross Road In Ward No 198</t>
  </si>
  <si>
    <t>198-18-000023</t>
  </si>
  <si>
    <t>Improvements UGD lines in ward No. 198, Hemmigepura.</t>
  </si>
  <si>
    <t>198-19-000002</t>
  </si>
  <si>
    <t>Improvements to roads and drains and other development works at 198 ward surrounding area Stage-2</t>
  </si>
  <si>
    <t>Ramalingu</t>
  </si>
  <si>
    <t>198-15-000001</t>
  </si>
  <si>
    <t xml:space="preserve">Improvements of road and other works Omkar layout Nanjappa Layout and Nandadeepa Layout Cross Roads in Ward No.198 </t>
  </si>
  <si>
    <t>198-15-000002</t>
  </si>
  <si>
    <t xml:space="preserve">Improvements of road and other works in Krishna Garden Cross Roads in Ward No.198 </t>
  </si>
  <si>
    <t>198-15-000003</t>
  </si>
  <si>
    <t xml:space="preserve">Improvements of road and other works in VijayaShree Layout Mookambhika Layout BEMEL Layout 7th SStage and Krishna County main and Cross Roads in Ward No.198 </t>
  </si>
  <si>
    <t>198-15-000006</t>
  </si>
  <si>
    <t xml:space="preserve">Improvements of road and other works in Basappa layout Remco Layout and Pattanagere in Ward No.198 Hemmigepura </t>
  </si>
  <si>
    <t>198-15-000004</t>
  </si>
  <si>
    <t xml:space="preserve">Improvements of road and other works B.H.E.L Layout Main and Cross Roads in Ward No.198 </t>
  </si>
  <si>
    <t>198-19-000006</t>
  </si>
  <si>
    <t>Improvements of CC Drains and Roads to Ambedkar Colony Connecting to H  M Colony Surrounding are in Thalaghattapura Hemmigepura Ward No 198</t>
  </si>
  <si>
    <t>198-19-000007</t>
  </si>
  <si>
    <t>Improvements of CC Roads and  Drains to  Srinivaspura Colony Surrounding Area Ambedkar Colony in Hemmigepura Ward No 198</t>
  </si>
  <si>
    <t>198-17-000035</t>
  </si>
  <si>
    <t>Improvements of Drains and Roads near Mylasandra Anjaneyaswamy Temple Back side in Ward No 198   Hemmigepura</t>
  </si>
  <si>
    <t>198-17-000036</t>
  </si>
  <si>
    <t>Improvements of Drains and Roads to the cross roads of Kodipalya in Ward No 198</t>
  </si>
  <si>
    <t>198-17-000037</t>
  </si>
  <si>
    <t>Improvements of Drains and Damaged Roads in Thalagattapura in Ward No 198</t>
  </si>
  <si>
    <t>198-17-000033</t>
  </si>
  <si>
    <t>Construction of Culverts and Cleaning of Approach Drains in  Ward No 198   Hemmigepura</t>
  </si>
  <si>
    <t>198-17-000028</t>
  </si>
  <si>
    <t>Providing and Fixing in Position New Street Name Boards and Renaming the Boards in Ward No 198 Hemmigepura</t>
  </si>
  <si>
    <t>198-19-000001</t>
  </si>
  <si>
    <t>Consultancy Services for Preparation of Detailed Project Report for the work Improvements to roads and drains and other development works at Ward No-198 Surrounding area Stage-2</t>
  </si>
  <si>
    <t>July</t>
  </si>
  <si>
    <t>198-15-000054</t>
  </si>
  <si>
    <t>Drilling and providing, suppling of borewell motor pumps, cable and accesasaries at Hemmigepura area and Surroundings in ward no. 198, Hemmigepura</t>
  </si>
  <si>
    <t>P3075</t>
  </si>
  <si>
    <t>Special comprehensive development works in Bangalore city (Bangalore city in charge Minister Discretionary Grants)</t>
  </si>
  <si>
    <t>198-17-000038</t>
  </si>
  <si>
    <t>Improvements of Drains to the cross roads of Kenchenahalli in Ward No 198</t>
  </si>
  <si>
    <t>198-19-000044</t>
  </si>
  <si>
    <t>Restoration of BWSSB Road cut portion in Hemmigepura and surrounding area at ward no 198</t>
  </si>
  <si>
    <t>B K Vinodkumar</t>
  </si>
  <si>
    <t>P0613</t>
  </si>
  <si>
    <t>Redoing of Road cut Portions (Deposit Contributions)</t>
  </si>
  <si>
    <t>198-19-000045</t>
  </si>
  <si>
    <t>Restoration of BWSSB Road cut portion in Thalaghattapura and surrounding area at ward no 198</t>
  </si>
  <si>
    <t>198-15-000055</t>
  </si>
  <si>
    <t>Drilling and providing, suppling of borewell motor pumps, cable and accesasaries at thalaghattapura area and Surroundings in ward no. 198, Hemmigepura</t>
  </si>
  <si>
    <t>198-17-000031</t>
  </si>
  <si>
    <t>Drilling of New Borewells in Water Scarcity Areas and Providing Pumps Motors and other accessories and commissioning of Borewells in Ward No 198 Hemmigepura</t>
  </si>
  <si>
    <t>M/S,KRIDL</t>
  </si>
  <si>
    <t>August</t>
  </si>
  <si>
    <t>198-17-000050</t>
  </si>
  <si>
    <t>Improvements to drains in Kengeri KOte Area and roads to Lingayath Burial ground in ward no 198</t>
  </si>
  <si>
    <t>198-17-000051</t>
  </si>
  <si>
    <t>Improvements drains in Vijayasree layout and Sunnakallu palya area in ward no 198</t>
  </si>
  <si>
    <t>198-18-000012</t>
  </si>
  <si>
    <t>Improvements to roads and drains to the to Rangaswamappa Layout road and surrounding roads of Mylasandra in Hemmigepura in ward no 198</t>
  </si>
  <si>
    <t>198-18-000013</t>
  </si>
  <si>
    <t>Improvements to roads and drains in Nanjappa layout and Bhumika layout in Hemmigepura ward no 198</t>
  </si>
  <si>
    <t>198-17-000053</t>
  </si>
  <si>
    <t>Improvements to drain in BEML layout near Mylasandra in ward no 198</t>
  </si>
  <si>
    <t>198-18-000010</t>
  </si>
  <si>
    <t>Improvements to drains to the cross roads and main roads behind Govt. Hospital in Kengeri Kote area in Hemmigepura ward no 198.</t>
  </si>
  <si>
    <t>198-18-000011</t>
  </si>
  <si>
    <t>Improvements to Roads to the cross roads and main roads in Kengeri Kote and surrounding area in ward no 198</t>
  </si>
  <si>
    <t>September</t>
  </si>
  <si>
    <t>198-19-000041</t>
  </si>
  <si>
    <t>Construction of RCC Retaining wall to SWD RHS side RN-181 V. Valley from Down stream of Myalasandra Bridge beside SWM Transfer Point in ward no 198 of RR Nagar Zone</t>
  </si>
  <si>
    <t>Sri Chandrashekar (Sri Venkateshwara Enter prises</t>
  </si>
  <si>
    <t>P3297</t>
  </si>
  <si>
    <t>14th Finance Commission Grants - SWD Works</t>
  </si>
  <si>
    <t>ddo313</t>
  </si>
  <si>
    <t xml:space="preserve"> Chief Engineer SWD Central Zone</t>
  </si>
  <si>
    <t>October</t>
  </si>
  <si>
    <t>198-18-000043</t>
  </si>
  <si>
    <t>Providing Maintenance work Public toilet in Kengeri near Govt Hospitasl in ward no 198 Hemmigepura</t>
  </si>
  <si>
    <t>P3294</t>
  </si>
  <si>
    <t>14th Finance Commission Works - General Public ToiletandSeptage Maintenance</t>
  </si>
  <si>
    <t>198-19-000008</t>
  </si>
  <si>
    <t>UGD works in Hemmigepura Talaghattapura Ganakal Mayasandra and surrounding area ward no 198</t>
  </si>
  <si>
    <t>Chandrashekar (Sri Venkateshwara Enterprises)</t>
  </si>
  <si>
    <t>November</t>
  </si>
  <si>
    <t>December</t>
  </si>
  <si>
    <t>198-13-000002</t>
  </si>
  <si>
    <t>CONST OF GARBAGE SEPARATION CENTRE AT WARD NO 198 HEMMEGEPURA SURVEY NO 8 MAILASANDRA JURIDICTION IN R R NAGAR ZONE</t>
  </si>
  <si>
    <t>Karnataka Rural Infrastructure Development Ltd</t>
  </si>
  <si>
    <t>P0279</t>
  </si>
  <si>
    <t>Storing and Sorting area for secondary Collection</t>
  </si>
  <si>
    <t>ddo008</t>
  </si>
  <si>
    <t xml:space="preserve"> Executive Engineer (Project) Rajarajeshwari Nagar Zone</t>
  </si>
  <si>
    <t>198-18-000039</t>
  </si>
  <si>
    <t>Construction of Sump tank and other Works in Parks in Ward no 198 in RR Nagar Zone</t>
  </si>
  <si>
    <t>P3209</t>
  </si>
  <si>
    <t>Water Facilities in BBMP Parks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</si>
</sst>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8"/>
  <sheetViews>
    <sheetView tabSelected="1" topLeftCell="A49" workbookViewId="0">
      <selection activeCell="A2" sqref="A2:XFD58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6.26953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6174</v>
      </c>
      <c r="B2" s="5" t="s">
        <v>28</v>
      </c>
      <c r="C2" s="6">
        <v>43566</v>
      </c>
      <c r="D2" s="7">
        <v>198</v>
      </c>
      <c r="E2" s="8" t="s">
        <v>55</v>
      </c>
      <c r="F2" s="7" t="s">
        <v>56</v>
      </c>
      <c r="G2" s="8" t="s">
        <v>57</v>
      </c>
      <c r="H2" s="7" t="str">
        <f>"000100"</f>
        <v>000100</v>
      </c>
      <c r="I2" s="6">
        <v>43074</v>
      </c>
      <c r="J2" s="7" t="str">
        <f>"000168"</f>
        <v>000168</v>
      </c>
      <c r="K2" s="6">
        <v>43292</v>
      </c>
      <c r="L2" s="7" t="str">
        <f>"000252"</f>
        <v>000252</v>
      </c>
      <c r="M2" s="6">
        <v>43293</v>
      </c>
      <c r="N2" s="7">
        <v>18</v>
      </c>
      <c r="O2" s="7" t="str">
        <f>"000262"</f>
        <v>000262</v>
      </c>
      <c r="P2" s="6">
        <v>43564</v>
      </c>
      <c r="Q2" s="9">
        <v>97.993979999999993</v>
      </c>
      <c r="R2" s="9">
        <v>3.0377999999999998</v>
      </c>
      <c r="S2" s="9">
        <v>94.956180000000003</v>
      </c>
      <c r="T2" s="7">
        <v>11</v>
      </c>
      <c r="U2" s="6">
        <v>43566</v>
      </c>
      <c r="V2" s="7">
        <v>8904904737</v>
      </c>
      <c r="W2" s="8" t="s">
        <v>54</v>
      </c>
      <c r="X2" s="7" t="s">
        <v>58</v>
      </c>
      <c r="Y2" s="8" t="s">
        <v>59</v>
      </c>
      <c r="Z2" s="7" t="s">
        <v>50</v>
      </c>
      <c r="AA2" s="8" t="s">
        <v>51</v>
      </c>
      <c r="AB2" s="9">
        <f t="shared" ref="AB2:AB24" si="0">Q2/100</f>
        <v>0.97993979999999992</v>
      </c>
    </row>
    <row r="3" spans="1:28" x14ac:dyDescent="0.35">
      <c r="A3" s="4">
        <v>6175</v>
      </c>
      <c r="B3" s="5" t="s">
        <v>28</v>
      </c>
      <c r="C3" s="6">
        <v>43575</v>
      </c>
      <c r="D3" s="7">
        <v>198</v>
      </c>
      <c r="E3" s="8" t="s">
        <v>55</v>
      </c>
      <c r="F3" s="7" t="s">
        <v>60</v>
      </c>
      <c r="G3" s="8" t="s">
        <v>61</v>
      </c>
      <c r="H3" s="7" t="str">
        <f>"000024"</f>
        <v>000024</v>
      </c>
      <c r="I3" s="6">
        <v>42776</v>
      </c>
      <c r="J3" s="7" t="str">
        <f>"000034"</f>
        <v>000034</v>
      </c>
      <c r="K3" s="6">
        <v>43595</v>
      </c>
      <c r="L3" s="7" t="str">
        <f>"000034"</f>
        <v>000034</v>
      </c>
      <c r="M3" s="6">
        <v>43595</v>
      </c>
      <c r="N3" s="7">
        <v>16</v>
      </c>
      <c r="O3" s="7" t="str">
        <f>""</f>
        <v/>
      </c>
      <c r="P3" s="6"/>
      <c r="Q3" s="9">
        <v>5.1683700000000004</v>
      </c>
      <c r="R3" s="9">
        <v>0.45526</v>
      </c>
      <c r="S3" s="9">
        <v>4.7131100000000004</v>
      </c>
      <c r="T3" s="7">
        <v>20</v>
      </c>
      <c r="U3" s="6">
        <v>43575</v>
      </c>
      <c r="V3" s="7">
        <v>9845937757</v>
      </c>
      <c r="W3" s="8" t="s">
        <v>62</v>
      </c>
      <c r="X3" s="7" t="s">
        <v>37</v>
      </c>
      <c r="Y3" s="8" t="s">
        <v>36</v>
      </c>
      <c r="Z3" s="7" t="s">
        <v>47</v>
      </c>
      <c r="AA3" s="8" t="s">
        <v>48</v>
      </c>
      <c r="AB3" s="9">
        <f t="shared" si="0"/>
        <v>5.1683700000000006E-2</v>
      </c>
    </row>
    <row r="4" spans="1:28" x14ac:dyDescent="0.35">
      <c r="A4" s="4">
        <v>6176</v>
      </c>
      <c r="B4" s="5" t="s">
        <v>28</v>
      </c>
      <c r="C4" s="6">
        <v>43575</v>
      </c>
      <c r="D4" s="7">
        <v>198</v>
      </c>
      <c r="E4" s="8" t="s">
        <v>55</v>
      </c>
      <c r="F4" s="7" t="s">
        <v>63</v>
      </c>
      <c r="G4" s="8" t="s">
        <v>64</v>
      </c>
      <c r="H4" s="7" t="str">
        <f>"000027"</f>
        <v>000027</v>
      </c>
      <c r="I4" s="6">
        <v>42808</v>
      </c>
      <c r="J4" s="7" t="str">
        <f>"000035"</f>
        <v>000035</v>
      </c>
      <c r="K4" s="6">
        <v>43595</v>
      </c>
      <c r="L4" s="7" t="str">
        <f>"000035"</f>
        <v>000035</v>
      </c>
      <c r="M4" s="6">
        <v>43595</v>
      </c>
      <c r="N4" s="7">
        <v>16</v>
      </c>
      <c r="O4" s="7" t="str">
        <f>""</f>
        <v/>
      </c>
      <c r="P4" s="6"/>
      <c r="Q4" s="9">
        <v>5.1921499999999998</v>
      </c>
      <c r="R4" s="9">
        <v>0.45672000000000001</v>
      </c>
      <c r="S4" s="9">
        <v>4.73543</v>
      </c>
      <c r="T4" s="7">
        <v>20</v>
      </c>
      <c r="U4" s="6">
        <v>43575</v>
      </c>
      <c r="V4" s="7">
        <v>8861333185</v>
      </c>
      <c r="W4" s="8" t="s">
        <v>62</v>
      </c>
      <c r="X4" s="7" t="s">
        <v>37</v>
      </c>
      <c r="Y4" s="8" t="s">
        <v>36</v>
      </c>
      <c r="Z4" s="7" t="s">
        <v>47</v>
      </c>
      <c r="AA4" s="8" t="s">
        <v>48</v>
      </c>
      <c r="AB4" s="9">
        <f t="shared" si="0"/>
        <v>5.1921499999999995E-2</v>
      </c>
    </row>
    <row r="5" spans="1:28" x14ac:dyDescent="0.35">
      <c r="A5" s="4">
        <v>6177</v>
      </c>
      <c r="B5" s="5" t="s">
        <v>28</v>
      </c>
      <c r="C5" s="6">
        <v>43575</v>
      </c>
      <c r="D5" s="7">
        <v>198</v>
      </c>
      <c r="E5" s="8" t="s">
        <v>55</v>
      </c>
      <c r="F5" s="7" t="s">
        <v>65</v>
      </c>
      <c r="G5" s="8" t="s">
        <v>66</v>
      </c>
      <c r="H5" s="7" t="str">
        <f>"000026"</f>
        <v>000026</v>
      </c>
      <c r="I5" s="6">
        <v>42776</v>
      </c>
      <c r="J5" s="7" t="str">
        <f>"000018"</f>
        <v>000018</v>
      </c>
      <c r="K5" s="6">
        <v>43588</v>
      </c>
      <c r="L5" s="7" t="str">
        <f>"000018"</f>
        <v>000018</v>
      </c>
      <c r="M5" s="6">
        <v>43588</v>
      </c>
      <c r="N5" s="7">
        <v>16</v>
      </c>
      <c r="O5" s="7" t="str">
        <f>""</f>
        <v/>
      </c>
      <c r="P5" s="6"/>
      <c r="Q5" s="9">
        <v>7.11158</v>
      </c>
      <c r="R5" s="9">
        <v>0.66493999999999998</v>
      </c>
      <c r="S5" s="9">
        <v>6.4466400000000004</v>
      </c>
      <c r="T5" s="7">
        <v>20</v>
      </c>
      <c r="U5" s="6">
        <v>43575</v>
      </c>
      <c r="V5" s="7">
        <v>9980765550</v>
      </c>
      <c r="W5" s="8" t="s">
        <v>67</v>
      </c>
      <c r="X5" s="7" t="s">
        <v>37</v>
      </c>
      <c r="Y5" s="8" t="s">
        <v>36</v>
      </c>
      <c r="Z5" s="7" t="s">
        <v>47</v>
      </c>
      <c r="AA5" s="8" t="s">
        <v>48</v>
      </c>
      <c r="AB5" s="9">
        <f t="shared" si="0"/>
        <v>7.1115800000000007E-2</v>
      </c>
    </row>
    <row r="6" spans="1:28" x14ac:dyDescent="0.35">
      <c r="A6" s="4">
        <v>6178</v>
      </c>
      <c r="B6" s="5" t="s">
        <v>28</v>
      </c>
      <c r="C6" s="6">
        <v>43578</v>
      </c>
      <c r="D6" s="7">
        <v>198</v>
      </c>
      <c r="E6" s="8" t="s">
        <v>55</v>
      </c>
      <c r="F6" s="7" t="s">
        <v>68</v>
      </c>
      <c r="G6" s="8" t="s">
        <v>69</v>
      </c>
      <c r="H6" s="7" t="str">
        <f>"000407"</f>
        <v>000407</v>
      </c>
      <c r="I6" s="6">
        <v>43182</v>
      </c>
      <c r="J6" s="7" t="str">
        <f>"000056"</f>
        <v>000056</v>
      </c>
      <c r="K6" s="6">
        <v>43215</v>
      </c>
      <c r="L6" s="7" t="str">
        <f>"000082"</f>
        <v>000082</v>
      </c>
      <c r="M6" s="6">
        <v>43216</v>
      </c>
      <c r="N6" s="7">
        <v>18</v>
      </c>
      <c r="O6" s="7" t="str">
        <f>"000994"</f>
        <v>000994</v>
      </c>
      <c r="P6" s="6">
        <v>43223</v>
      </c>
      <c r="Q6" s="9">
        <v>4.9560000000000004</v>
      </c>
      <c r="R6" s="9">
        <v>0.49559999999999998</v>
      </c>
      <c r="S6" s="9">
        <v>4.4603999999999999</v>
      </c>
      <c r="T6" s="7">
        <v>25</v>
      </c>
      <c r="U6" s="6">
        <v>43578</v>
      </c>
      <c r="V6" s="7">
        <v>9538136111</v>
      </c>
      <c r="W6" s="8" t="s">
        <v>52</v>
      </c>
      <c r="X6" s="7" t="s">
        <v>40</v>
      </c>
      <c r="Y6" s="8" t="s">
        <v>41</v>
      </c>
      <c r="Z6" s="7" t="s">
        <v>50</v>
      </c>
      <c r="AA6" s="8" t="s">
        <v>51</v>
      </c>
      <c r="AB6" s="9">
        <f t="shared" si="0"/>
        <v>4.9560000000000007E-2</v>
      </c>
    </row>
    <row r="7" spans="1:28" x14ac:dyDescent="0.35">
      <c r="A7" s="4">
        <v>6179</v>
      </c>
      <c r="B7" s="5" t="s">
        <v>28</v>
      </c>
      <c r="C7" s="6">
        <v>43580</v>
      </c>
      <c r="D7" s="7">
        <v>198</v>
      </c>
      <c r="E7" s="8" t="s">
        <v>55</v>
      </c>
      <c r="F7" s="7" t="s">
        <v>63</v>
      </c>
      <c r="G7" s="8" t="s">
        <v>64</v>
      </c>
      <c r="H7" s="7" t="str">
        <f>"000027"</f>
        <v>000027</v>
      </c>
      <c r="I7" s="6">
        <v>42808</v>
      </c>
      <c r="J7" s="7" t="str">
        <f>"000035"</f>
        <v>000035</v>
      </c>
      <c r="K7" s="6">
        <v>43595</v>
      </c>
      <c r="L7" s="7" t="str">
        <f>"000035"</f>
        <v>000035</v>
      </c>
      <c r="M7" s="6">
        <v>43595</v>
      </c>
      <c r="N7" s="7">
        <v>16</v>
      </c>
      <c r="O7" s="7" t="str">
        <f>"001838"</f>
        <v>001838</v>
      </c>
      <c r="P7" s="6">
        <v>43606</v>
      </c>
      <c r="Q7" s="9">
        <v>2.9669599999999998</v>
      </c>
      <c r="R7" s="9">
        <v>0.40933999999999998</v>
      </c>
      <c r="S7" s="9">
        <v>2.55762</v>
      </c>
      <c r="T7" s="7">
        <v>29</v>
      </c>
      <c r="U7" s="6">
        <v>43580</v>
      </c>
      <c r="V7" s="7">
        <v>8861333185</v>
      </c>
      <c r="W7" s="8" t="s">
        <v>62</v>
      </c>
      <c r="X7" s="7" t="s">
        <v>37</v>
      </c>
      <c r="Y7" s="8" t="s">
        <v>36</v>
      </c>
      <c r="Z7" s="7" t="s">
        <v>47</v>
      </c>
      <c r="AA7" s="8" t="s">
        <v>48</v>
      </c>
      <c r="AB7" s="9">
        <f t="shared" si="0"/>
        <v>2.9669599999999997E-2</v>
      </c>
    </row>
    <row r="8" spans="1:28" x14ac:dyDescent="0.35">
      <c r="A8" s="4">
        <v>6180</v>
      </c>
      <c r="B8" s="5" t="s">
        <v>28</v>
      </c>
      <c r="C8" s="6">
        <v>43580</v>
      </c>
      <c r="D8" s="7">
        <v>198</v>
      </c>
      <c r="E8" s="8" t="s">
        <v>55</v>
      </c>
      <c r="F8" s="7" t="s">
        <v>60</v>
      </c>
      <c r="G8" s="8" t="s">
        <v>61</v>
      </c>
      <c r="H8" s="7" t="str">
        <f>"000024"</f>
        <v>000024</v>
      </c>
      <c r="I8" s="6">
        <v>42776</v>
      </c>
      <c r="J8" s="7" t="str">
        <f>"000034"</f>
        <v>000034</v>
      </c>
      <c r="K8" s="6">
        <v>43595</v>
      </c>
      <c r="L8" s="7" t="str">
        <f>"000034"</f>
        <v>000034</v>
      </c>
      <c r="M8" s="6">
        <v>43595</v>
      </c>
      <c r="N8" s="7">
        <v>16</v>
      </c>
      <c r="O8" s="7" t="str">
        <f>"001837"</f>
        <v>001837</v>
      </c>
      <c r="P8" s="6">
        <v>43606</v>
      </c>
      <c r="Q8" s="9">
        <v>2.95336</v>
      </c>
      <c r="R8" s="9">
        <v>0.40781000000000001</v>
      </c>
      <c r="S8" s="9">
        <v>2.54555</v>
      </c>
      <c r="T8" s="7">
        <v>29</v>
      </c>
      <c r="U8" s="6">
        <v>43580</v>
      </c>
      <c r="V8" s="7">
        <v>9845937757</v>
      </c>
      <c r="W8" s="8" t="s">
        <v>62</v>
      </c>
      <c r="X8" s="7" t="s">
        <v>37</v>
      </c>
      <c r="Y8" s="8" t="s">
        <v>36</v>
      </c>
      <c r="Z8" s="7" t="s">
        <v>47</v>
      </c>
      <c r="AA8" s="8" t="s">
        <v>48</v>
      </c>
      <c r="AB8" s="9">
        <f t="shared" si="0"/>
        <v>2.95336E-2</v>
      </c>
    </row>
    <row r="9" spans="1:28" x14ac:dyDescent="0.35">
      <c r="A9" s="4">
        <v>6181</v>
      </c>
      <c r="B9" s="5" t="s">
        <v>28</v>
      </c>
      <c r="C9" s="6">
        <v>43580</v>
      </c>
      <c r="D9" s="7">
        <v>198</v>
      </c>
      <c r="E9" s="8" t="s">
        <v>55</v>
      </c>
      <c r="F9" s="7" t="s">
        <v>70</v>
      </c>
      <c r="G9" s="8" t="s">
        <v>71</v>
      </c>
      <c r="H9" s="7" t="str">
        <f>"000025"</f>
        <v>000025</v>
      </c>
      <c r="I9" s="6">
        <v>42776</v>
      </c>
      <c r="J9" s="7" t="str">
        <f>"000019"</f>
        <v>000019</v>
      </c>
      <c r="K9" s="6">
        <v>43588</v>
      </c>
      <c r="L9" s="7" t="str">
        <f>"000019"</f>
        <v>000019</v>
      </c>
      <c r="M9" s="6">
        <v>43588</v>
      </c>
      <c r="N9" s="7">
        <v>16</v>
      </c>
      <c r="O9" s="7" t="str">
        <f>"001823"</f>
        <v>001823</v>
      </c>
      <c r="P9" s="6">
        <v>43605</v>
      </c>
      <c r="Q9" s="9">
        <v>1.9761899999999999</v>
      </c>
      <c r="R9" s="9">
        <v>0.13253999999999999</v>
      </c>
      <c r="S9" s="9">
        <v>1.84365</v>
      </c>
      <c r="T9" s="7">
        <v>29</v>
      </c>
      <c r="U9" s="6">
        <v>43580</v>
      </c>
      <c r="V9" s="7">
        <v>9945131358</v>
      </c>
      <c r="W9" s="8" t="s">
        <v>72</v>
      </c>
      <c r="X9" s="7" t="s">
        <v>37</v>
      </c>
      <c r="Y9" s="8" t="s">
        <v>36</v>
      </c>
      <c r="Z9" s="7" t="s">
        <v>47</v>
      </c>
      <c r="AA9" s="8" t="s">
        <v>48</v>
      </c>
      <c r="AB9" s="9">
        <f t="shared" si="0"/>
        <v>1.9761899999999999E-2</v>
      </c>
    </row>
    <row r="10" spans="1:28" x14ac:dyDescent="0.35">
      <c r="A10" s="4">
        <v>6182</v>
      </c>
      <c r="B10" s="5" t="s">
        <v>28</v>
      </c>
      <c r="C10" s="6">
        <v>43580</v>
      </c>
      <c r="D10" s="7">
        <v>198</v>
      </c>
      <c r="E10" s="8" t="s">
        <v>55</v>
      </c>
      <c r="F10" s="7" t="s">
        <v>65</v>
      </c>
      <c r="G10" s="8" t="s">
        <v>66</v>
      </c>
      <c r="H10" s="7" t="str">
        <f>"000026"</f>
        <v>000026</v>
      </c>
      <c r="I10" s="6">
        <v>42776</v>
      </c>
      <c r="J10" s="7" t="str">
        <f>"000018"</f>
        <v>000018</v>
      </c>
      <c r="K10" s="6">
        <v>43588</v>
      </c>
      <c r="L10" s="7" t="str">
        <f>"000018"</f>
        <v>000018</v>
      </c>
      <c r="M10" s="6">
        <v>43588</v>
      </c>
      <c r="N10" s="7">
        <v>16</v>
      </c>
      <c r="O10" s="7" t="str">
        <f>""</f>
        <v/>
      </c>
      <c r="P10" s="6"/>
      <c r="Q10" s="9">
        <v>2.0953599999999999</v>
      </c>
      <c r="R10" s="9">
        <v>0.13982</v>
      </c>
      <c r="S10" s="9">
        <v>1.9555400000000001</v>
      </c>
      <c r="T10" s="7">
        <v>29</v>
      </c>
      <c r="U10" s="6">
        <v>43580</v>
      </c>
      <c r="V10" s="7">
        <v>9980765550</v>
      </c>
      <c r="W10" s="8" t="s">
        <v>67</v>
      </c>
      <c r="X10" s="7" t="s">
        <v>37</v>
      </c>
      <c r="Y10" s="8" t="s">
        <v>36</v>
      </c>
      <c r="Z10" s="7" t="s">
        <v>47</v>
      </c>
      <c r="AA10" s="8" t="s">
        <v>48</v>
      </c>
      <c r="AB10" s="9">
        <f t="shared" si="0"/>
        <v>2.0953599999999999E-2</v>
      </c>
    </row>
    <row r="11" spans="1:28" x14ac:dyDescent="0.35">
      <c r="A11" s="4">
        <v>6183</v>
      </c>
      <c r="B11" s="5" t="s">
        <v>32</v>
      </c>
      <c r="C11" s="6">
        <v>43591</v>
      </c>
      <c r="D11" s="7">
        <v>198</v>
      </c>
      <c r="E11" s="8" t="s">
        <v>55</v>
      </c>
      <c r="F11" s="7" t="s">
        <v>73</v>
      </c>
      <c r="G11" s="8" t="s">
        <v>74</v>
      </c>
      <c r="H11" s="7" t="str">
        <f>"000423"</f>
        <v>000423</v>
      </c>
      <c r="I11" s="6">
        <v>43409</v>
      </c>
      <c r="J11" s="7" t="str">
        <f>"000212"</f>
        <v>000212</v>
      </c>
      <c r="K11" s="6">
        <v>43468</v>
      </c>
      <c r="L11" s="7" t="str">
        <f>"000426"</f>
        <v>000426</v>
      </c>
      <c r="M11" s="6">
        <v>43469</v>
      </c>
      <c r="N11" s="7">
        <v>19</v>
      </c>
      <c r="O11" s="7" t="str">
        <f>"001258"</f>
        <v>001258</v>
      </c>
      <c r="P11" s="6">
        <v>43587</v>
      </c>
      <c r="Q11" s="9">
        <v>97.949169999999995</v>
      </c>
      <c r="R11" s="9">
        <v>10.24297</v>
      </c>
      <c r="S11" s="9">
        <v>87.706199999999995</v>
      </c>
      <c r="T11" s="7">
        <v>39</v>
      </c>
      <c r="U11" s="6">
        <v>43591</v>
      </c>
      <c r="V11" s="7">
        <v>8904904737</v>
      </c>
      <c r="W11" s="8" t="s">
        <v>49</v>
      </c>
      <c r="X11" s="7" t="s">
        <v>44</v>
      </c>
      <c r="Y11" s="8" t="s">
        <v>45</v>
      </c>
      <c r="Z11" s="7" t="s">
        <v>50</v>
      </c>
      <c r="AA11" s="8" t="s">
        <v>51</v>
      </c>
      <c r="AB11" s="9">
        <f t="shared" si="0"/>
        <v>0.97949169999999997</v>
      </c>
    </row>
    <row r="12" spans="1:28" x14ac:dyDescent="0.35">
      <c r="A12" s="4">
        <v>6184</v>
      </c>
      <c r="B12" s="5" t="s">
        <v>32</v>
      </c>
      <c r="C12" s="6">
        <v>43591</v>
      </c>
      <c r="D12" s="7">
        <v>198</v>
      </c>
      <c r="E12" s="8" t="s">
        <v>55</v>
      </c>
      <c r="F12" s="7" t="s">
        <v>75</v>
      </c>
      <c r="G12" s="8" t="s">
        <v>76</v>
      </c>
      <c r="H12" s="7" t="str">
        <f>"000424"</f>
        <v>000424</v>
      </c>
      <c r="I12" s="6">
        <v>43409</v>
      </c>
      <c r="J12" s="7" t="str">
        <f>"000213"</f>
        <v>000213</v>
      </c>
      <c r="K12" s="6">
        <v>43468</v>
      </c>
      <c r="L12" s="7" t="str">
        <f>"000427"</f>
        <v>000427</v>
      </c>
      <c r="M12" s="6">
        <v>43469</v>
      </c>
      <c r="N12" s="7">
        <v>19</v>
      </c>
      <c r="O12" s="7" t="str">
        <f>"001259"</f>
        <v>001259</v>
      </c>
      <c r="P12" s="6">
        <v>43587</v>
      </c>
      <c r="Q12" s="9">
        <v>98.427679999999995</v>
      </c>
      <c r="R12" s="9">
        <v>10.280279999999999</v>
      </c>
      <c r="S12" s="9">
        <v>88.147400000000005</v>
      </c>
      <c r="T12" s="7">
        <v>39</v>
      </c>
      <c r="U12" s="6">
        <v>43591</v>
      </c>
      <c r="V12" s="7">
        <v>8904904737</v>
      </c>
      <c r="W12" s="8" t="s">
        <v>49</v>
      </c>
      <c r="X12" s="7" t="s">
        <v>44</v>
      </c>
      <c r="Y12" s="8" t="s">
        <v>45</v>
      </c>
      <c r="Z12" s="7" t="s">
        <v>50</v>
      </c>
      <c r="AA12" s="8" t="s">
        <v>51</v>
      </c>
      <c r="AB12" s="9">
        <f t="shared" si="0"/>
        <v>0.98427679999999995</v>
      </c>
    </row>
    <row r="13" spans="1:28" x14ac:dyDescent="0.35">
      <c r="A13" s="4">
        <v>6185</v>
      </c>
      <c r="B13" s="5" t="s">
        <v>32</v>
      </c>
      <c r="C13" s="6">
        <v>43600</v>
      </c>
      <c r="D13" s="7">
        <v>198</v>
      </c>
      <c r="E13" s="8" t="s">
        <v>55</v>
      </c>
      <c r="F13" s="7" t="s">
        <v>77</v>
      </c>
      <c r="G13" s="8" t="s">
        <v>78</v>
      </c>
      <c r="H13" s="7" t="str">
        <f>"000308"</f>
        <v>000308</v>
      </c>
      <c r="I13" s="6">
        <v>43367</v>
      </c>
      <c r="J13" s="7" t="str">
        <f>"000001"</f>
        <v>000001</v>
      </c>
      <c r="K13" s="6">
        <v>43560</v>
      </c>
      <c r="L13" s="7" t="str">
        <f>"000018"</f>
        <v>000018</v>
      </c>
      <c r="M13" s="6">
        <v>43564</v>
      </c>
      <c r="N13" s="7">
        <v>18</v>
      </c>
      <c r="O13" s="7" t="str">
        <f>"001589"</f>
        <v>001589</v>
      </c>
      <c r="P13" s="6">
        <v>43600</v>
      </c>
      <c r="Q13" s="9">
        <v>89.512500000000003</v>
      </c>
      <c r="R13" s="9">
        <v>10.188940000000001</v>
      </c>
      <c r="S13" s="9">
        <v>79.323560000000001</v>
      </c>
      <c r="T13" s="7">
        <v>46</v>
      </c>
      <c r="U13" s="6">
        <v>43600</v>
      </c>
      <c r="V13" s="7">
        <v>9845235505</v>
      </c>
      <c r="W13" s="8" t="s">
        <v>46</v>
      </c>
      <c r="X13" s="7" t="s">
        <v>42</v>
      </c>
      <c r="Y13" s="8" t="s">
        <v>43</v>
      </c>
      <c r="Z13" s="7" t="s">
        <v>50</v>
      </c>
      <c r="AA13" s="8" t="s">
        <v>51</v>
      </c>
      <c r="AB13" s="9">
        <f t="shared" si="0"/>
        <v>0.89512500000000006</v>
      </c>
    </row>
    <row r="14" spans="1:28" x14ac:dyDescent="0.35">
      <c r="A14" s="4">
        <v>6186</v>
      </c>
      <c r="B14" s="5" t="s">
        <v>32</v>
      </c>
      <c r="C14" s="6">
        <v>43606</v>
      </c>
      <c r="D14" s="7">
        <v>198</v>
      </c>
      <c r="E14" s="8" t="s">
        <v>55</v>
      </c>
      <c r="F14" s="7" t="s">
        <v>70</v>
      </c>
      <c r="G14" s="8" t="s">
        <v>71</v>
      </c>
      <c r="H14" s="7" t="str">
        <f>"000025"</f>
        <v>000025</v>
      </c>
      <c r="I14" s="6">
        <v>42776</v>
      </c>
      <c r="J14" s="7" t="str">
        <f>"000019"</f>
        <v>000019</v>
      </c>
      <c r="K14" s="6">
        <v>43588</v>
      </c>
      <c r="L14" s="7" t="str">
        <f>"000019"</f>
        <v>000019</v>
      </c>
      <c r="M14" s="6">
        <v>43588</v>
      </c>
      <c r="N14" s="7">
        <v>16</v>
      </c>
      <c r="O14" s="7" t="str">
        <f>"001823"</f>
        <v>001823</v>
      </c>
      <c r="P14" s="6">
        <v>43605</v>
      </c>
      <c r="Q14" s="9">
        <v>10.06091</v>
      </c>
      <c r="R14" s="9">
        <v>1.29521</v>
      </c>
      <c r="S14" s="9">
        <v>8.7657000000000007</v>
      </c>
      <c r="T14" s="7">
        <v>55</v>
      </c>
      <c r="U14" s="6">
        <v>43606</v>
      </c>
      <c r="V14" s="7">
        <v>9945131358</v>
      </c>
      <c r="W14" s="8" t="s">
        <v>72</v>
      </c>
      <c r="X14" s="7" t="s">
        <v>37</v>
      </c>
      <c r="Y14" s="8" t="s">
        <v>36</v>
      </c>
      <c r="Z14" s="7" t="s">
        <v>47</v>
      </c>
      <c r="AA14" s="8" t="s">
        <v>48</v>
      </c>
      <c r="AB14" s="9">
        <f t="shared" si="0"/>
        <v>0.10060909999999999</v>
      </c>
    </row>
    <row r="15" spans="1:28" x14ac:dyDescent="0.35">
      <c r="A15" s="4">
        <v>6187</v>
      </c>
      <c r="B15" s="5" t="s">
        <v>32</v>
      </c>
      <c r="C15" s="6">
        <v>43606</v>
      </c>
      <c r="D15" s="7">
        <v>198</v>
      </c>
      <c r="E15" s="8" t="s">
        <v>55</v>
      </c>
      <c r="F15" s="7" t="s">
        <v>60</v>
      </c>
      <c r="G15" s="8" t="s">
        <v>61</v>
      </c>
      <c r="H15" s="7" t="str">
        <f>"000024"</f>
        <v>000024</v>
      </c>
      <c r="I15" s="6">
        <v>42776</v>
      </c>
      <c r="J15" s="7" t="str">
        <f>"000034"</f>
        <v>000034</v>
      </c>
      <c r="K15" s="6">
        <v>43595</v>
      </c>
      <c r="L15" s="7" t="str">
        <f>"000034"</f>
        <v>000034</v>
      </c>
      <c r="M15" s="6">
        <v>43595</v>
      </c>
      <c r="N15" s="7">
        <v>16</v>
      </c>
      <c r="O15" s="7" t="str">
        <f>"001837"</f>
        <v>001837</v>
      </c>
      <c r="P15" s="6">
        <v>43606</v>
      </c>
      <c r="Q15" s="9">
        <v>2.21502</v>
      </c>
      <c r="R15" s="9">
        <v>0.28613</v>
      </c>
      <c r="S15" s="9">
        <v>1.92889</v>
      </c>
      <c r="T15" s="7">
        <v>55</v>
      </c>
      <c r="U15" s="6">
        <v>43606</v>
      </c>
      <c r="V15" s="7">
        <v>9845937757</v>
      </c>
      <c r="W15" s="8" t="s">
        <v>62</v>
      </c>
      <c r="X15" s="7" t="s">
        <v>37</v>
      </c>
      <c r="Y15" s="8" t="s">
        <v>36</v>
      </c>
      <c r="Z15" s="7" t="s">
        <v>47</v>
      </c>
      <c r="AA15" s="8" t="s">
        <v>48</v>
      </c>
      <c r="AB15" s="9">
        <f t="shared" si="0"/>
        <v>2.2150199999999998E-2</v>
      </c>
    </row>
    <row r="16" spans="1:28" x14ac:dyDescent="0.35">
      <c r="A16" s="4">
        <v>6188</v>
      </c>
      <c r="B16" s="5" t="s">
        <v>32</v>
      </c>
      <c r="C16" s="6">
        <v>43606</v>
      </c>
      <c r="D16" s="7">
        <v>198</v>
      </c>
      <c r="E16" s="8" t="s">
        <v>55</v>
      </c>
      <c r="F16" s="7" t="s">
        <v>63</v>
      </c>
      <c r="G16" s="8" t="s">
        <v>64</v>
      </c>
      <c r="H16" s="7" t="str">
        <f>"000027"</f>
        <v>000027</v>
      </c>
      <c r="I16" s="6">
        <v>42808</v>
      </c>
      <c r="J16" s="7" t="str">
        <f>"000035"</f>
        <v>000035</v>
      </c>
      <c r="K16" s="6">
        <v>43595</v>
      </c>
      <c r="L16" s="7" t="str">
        <f>"000035"</f>
        <v>000035</v>
      </c>
      <c r="M16" s="6">
        <v>43595</v>
      </c>
      <c r="N16" s="7">
        <v>16</v>
      </c>
      <c r="O16" s="7" t="str">
        <f>"001838"</f>
        <v>001838</v>
      </c>
      <c r="P16" s="6">
        <v>43606</v>
      </c>
      <c r="Q16" s="9">
        <v>2.2252200000000002</v>
      </c>
      <c r="R16" s="9">
        <v>0.28722999999999999</v>
      </c>
      <c r="S16" s="9">
        <v>1.9379900000000001</v>
      </c>
      <c r="T16" s="7">
        <v>55</v>
      </c>
      <c r="U16" s="6">
        <v>43606</v>
      </c>
      <c r="V16" s="7">
        <v>8861333185</v>
      </c>
      <c r="W16" s="8" t="s">
        <v>62</v>
      </c>
      <c r="X16" s="7" t="s">
        <v>37</v>
      </c>
      <c r="Y16" s="8" t="s">
        <v>36</v>
      </c>
      <c r="Z16" s="7" t="s">
        <v>47</v>
      </c>
      <c r="AA16" s="8" t="s">
        <v>48</v>
      </c>
      <c r="AB16" s="9">
        <f t="shared" si="0"/>
        <v>2.2252200000000003E-2</v>
      </c>
    </row>
    <row r="17" spans="1:28" x14ac:dyDescent="0.35">
      <c r="A17" s="4">
        <v>6189</v>
      </c>
      <c r="B17" s="5" t="s">
        <v>32</v>
      </c>
      <c r="C17" s="6">
        <v>43612</v>
      </c>
      <c r="D17" s="7">
        <v>198</v>
      </c>
      <c r="E17" s="8" t="s">
        <v>55</v>
      </c>
      <c r="F17" s="7" t="s">
        <v>79</v>
      </c>
      <c r="G17" s="8" t="s">
        <v>80</v>
      </c>
      <c r="H17" s="7" t="str">
        <f>"000574"</f>
        <v>000574</v>
      </c>
      <c r="I17" s="6">
        <v>43526</v>
      </c>
      <c r="J17" s="7" t="str">
        <f>"000011"</f>
        <v>000011</v>
      </c>
      <c r="K17" s="6">
        <v>43593</v>
      </c>
      <c r="L17" s="7" t="str">
        <f>"000042"</f>
        <v>000042</v>
      </c>
      <c r="M17" s="6">
        <v>43599</v>
      </c>
      <c r="N17" s="7">
        <v>19</v>
      </c>
      <c r="O17" s="7" t="str">
        <f>"002015"</f>
        <v>002015</v>
      </c>
      <c r="P17" s="6">
        <v>43608</v>
      </c>
      <c r="Q17" s="9">
        <v>59.3658</v>
      </c>
      <c r="R17" s="9">
        <v>3.1328299999999998</v>
      </c>
      <c r="S17" s="9">
        <v>56.232970000000002</v>
      </c>
      <c r="T17" s="7">
        <v>61</v>
      </c>
      <c r="U17" s="6">
        <v>43612</v>
      </c>
      <c r="V17" s="7">
        <v>9980573052</v>
      </c>
      <c r="W17" s="8" t="s">
        <v>81</v>
      </c>
      <c r="X17" s="7" t="s">
        <v>38</v>
      </c>
      <c r="Y17" s="8" t="s">
        <v>39</v>
      </c>
      <c r="Z17" s="7" t="s">
        <v>50</v>
      </c>
      <c r="AA17" s="8" t="s">
        <v>51</v>
      </c>
      <c r="AB17" s="9">
        <f t="shared" si="0"/>
        <v>0.59365800000000002</v>
      </c>
    </row>
    <row r="18" spans="1:28" x14ac:dyDescent="0.35">
      <c r="A18" s="4">
        <v>6190</v>
      </c>
      <c r="B18" s="5" t="s">
        <v>32</v>
      </c>
      <c r="C18" s="6">
        <v>43615</v>
      </c>
      <c r="D18" s="7">
        <v>198</v>
      </c>
      <c r="E18" s="8" t="s">
        <v>55</v>
      </c>
      <c r="F18" s="7" t="s">
        <v>82</v>
      </c>
      <c r="G18" s="8" t="s">
        <v>83</v>
      </c>
      <c r="H18" s="7" t="str">
        <f>"000057"</f>
        <v>000057</v>
      </c>
      <c r="I18" s="6">
        <v>43044</v>
      </c>
      <c r="J18" s="7" t="str">
        <f>"333338"</f>
        <v>333338</v>
      </c>
      <c r="K18" s="6">
        <v>43045</v>
      </c>
      <c r="L18" s="7" t="str">
        <f>"000205"</f>
        <v>000205</v>
      </c>
      <c r="M18" s="6">
        <v>43045</v>
      </c>
      <c r="N18" s="7">
        <v>15</v>
      </c>
      <c r="O18" s="7" t="str">
        <f>"002123"</f>
        <v>002123</v>
      </c>
      <c r="P18" s="6">
        <v>43613</v>
      </c>
      <c r="Q18" s="9">
        <v>27.692219999999999</v>
      </c>
      <c r="R18" s="9">
        <v>3.61924</v>
      </c>
      <c r="S18" s="9">
        <v>24.072980000000001</v>
      </c>
      <c r="T18" s="7">
        <v>65</v>
      </c>
      <c r="U18" s="6">
        <v>43615</v>
      </c>
      <c r="V18" s="7">
        <v>8904904737</v>
      </c>
      <c r="W18" s="8" t="s">
        <v>54</v>
      </c>
      <c r="X18" s="7" t="s">
        <v>34</v>
      </c>
      <c r="Y18" s="8" t="s">
        <v>35</v>
      </c>
      <c r="Z18" s="7" t="s">
        <v>50</v>
      </c>
      <c r="AA18" s="8" t="s">
        <v>51</v>
      </c>
      <c r="AB18" s="9">
        <f t="shared" si="0"/>
        <v>0.27692220000000001</v>
      </c>
    </row>
    <row r="19" spans="1:28" x14ac:dyDescent="0.35">
      <c r="A19" s="4">
        <v>6191</v>
      </c>
      <c r="B19" s="5" t="s">
        <v>32</v>
      </c>
      <c r="C19" s="6">
        <v>43615</v>
      </c>
      <c r="D19" s="7">
        <v>198</v>
      </c>
      <c r="E19" s="8" t="s">
        <v>55</v>
      </c>
      <c r="F19" s="7" t="s">
        <v>82</v>
      </c>
      <c r="G19" s="8" t="s">
        <v>83</v>
      </c>
      <c r="H19" s="7" t="str">
        <f>"000057"</f>
        <v>000057</v>
      </c>
      <c r="I19" s="6">
        <v>43044</v>
      </c>
      <c r="J19" s="7" t="str">
        <f>"333338"</f>
        <v>333338</v>
      </c>
      <c r="K19" s="6">
        <v>43045</v>
      </c>
      <c r="L19" s="7" t="str">
        <f>"000205"</f>
        <v>000205</v>
      </c>
      <c r="M19" s="6">
        <v>43045</v>
      </c>
      <c r="N19" s="7">
        <v>15</v>
      </c>
      <c r="O19" s="7" t="str">
        <f>"002123"</f>
        <v>002123</v>
      </c>
      <c r="P19" s="6">
        <v>43613</v>
      </c>
      <c r="Q19" s="9">
        <v>21.836410000000001</v>
      </c>
      <c r="R19" s="9">
        <v>2.8456299999999999</v>
      </c>
      <c r="S19" s="9">
        <v>18.990780000000001</v>
      </c>
      <c r="T19" s="7">
        <v>65</v>
      </c>
      <c r="U19" s="6">
        <v>43615</v>
      </c>
      <c r="V19" s="7">
        <v>8904904737</v>
      </c>
      <c r="W19" s="8" t="s">
        <v>54</v>
      </c>
      <c r="X19" s="7" t="s">
        <v>34</v>
      </c>
      <c r="Y19" s="8" t="s">
        <v>35</v>
      </c>
      <c r="Z19" s="7" t="s">
        <v>50</v>
      </c>
      <c r="AA19" s="8" t="s">
        <v>51</v>
      </c>
      <c r="AB19" s="9">
        <f t="shared" si="0"/>
        <v>0.21836410000000001</v>
      </c>
    </row>
    <row r="20" spans="1:28" x14ac:dyDescent="0.35">
      <c r="A20" s="4">
        <v>6192</v>
      </c>
      <c r="B20" s="5" t="s">
        <v>32</v>
      </c>
      <c r="C20" s="6">
        <v>43615</v>
      </c>
      <c r="D20" s="7">
        <v>198</v>
      </c>
      <c r="E20" s="8" t="s">
        <v>55</v>
      </c>
      <c r="F20" s="7" t="s">
        <v>84</v>
      </c>
      <c r="G20" s="8" t="s">
        <v>85</v>
      </c>
      <c r="H20" s="7" t="str">
        <f>"000058"</f>
        <v>000058</v>
      </c>
      <c r="I20" s="6">
        <v>43044</v>
      </c>
      <c r="J20" s="7" t="str">
        <f>"333340"</f>
        <v>333340</v>
      </c>
      <c r="K20" s="6">
        <v>43045</v>
      </c>
      <c r="L20" s="7" t="str">
        <f>"000207"</f>
        <v>000207</v>
      </c>
      <c r="M20" s="6">
        <v>43045</v>
      </c>
      <c r="N20" s="7">
        <v>15</v>
      </c>
      <c r="O20" s="7" t="str">
        <f>"002125"</f>
        <v>002125</v>
      </c>
      <c r="P20" s="6">
        <v>43613</v>
      </c>
      <c r="Q20" s="9">
        <v>39.179299999999998</v>
      </c>
      <c r="R20" s="9">
        <v>5.11287</v>
      </c>
      <c r="S20" s="9">
        <v>34.066429999999997</v>
      </c>
      <c r="T20" s="7">
        <v>65</v>
      </c>
      <c r="U20" s="6">
        <v>43615</v>
      </c>
      <c r="V20" s="7">
        <v>8904904737</v>
      </c>
      <c r="W20" s="8" t="s">
        <v>54</v>
      </c>
      <c r="X20" s="7" t="s">
        <v>34</v>
      </c>
      <c r="Y20" s="8" t="s">
        <v>35</v>
      </c>
      <c r="Z20" s="7" t="s">
        <v>50</v>
      </c>
      <c r="AA20" s="8" t="s">
        <v>51</v>
      </c>
      <c r="AB20" s="9">
        <f t="shared" si="0"/>
        <v>0.391793</v>
      </c>
    </row>
    <row r="21" spans="1:28" x14ac:dyDescent="0.35">
      <c r="A21" s="4">
        <v>6193</v>
      </c>
      <c r="B21" s="5" t="s">
        <v>32</v>
      </c>
      <c r="C21" s="6">
        <v>43615</v>
      </c>
      <c r="D21" s="7">
        <v>198</v>
      </c>
      <c r="E21" s="8" t="s">
        <v>55</v>
      </c>
      <c r="F21" s="7" t="s">
        <v>84</v>
      </c>
      <c r="G21" s="8" t="s">
        <v>85</v>
      </c>
      <c r="H21" s="7" t="str">
        <f>"000058"</f>
        <v>000058</v>
      </c>
      <c r="I21" s="6">
        <v>43044</v>
      </c>
      <c r="J21" s="7" t="str">
        <f>"333340"</f>
        <v>333340</v>
      </c>
      <c r="K21" s="6">
        <v>43045</v>
      </c>
      <c r="L21" s="7" t="str">
        <f>"000207"</f>
        <v>000207</v>
      </c>
      <c r="M21" s="6">
        <v>43045</v>
      </c>
      <c r="N21" s="7">
        <v>15</v>
      </c>
      <c r="O21" s="7" t="str">
        <f>"002125"</f>
        <v>002125</v>
      </c>
      <c r="P21" s="6">
        <v>43613</v>
      </c>
      <c r="Q21" s="9">
        <v>10.605</v>
      </c>
      <c r="R21" s="9">
        <v>1.37561</v>
      </c>
      <c r="S21" s="9">
        <v>9.2293900000000004</v>
      </c>
      <c r="T21" s="7">
        <v>65</v>
      </c>
      <c r="U21" s="6">
        <v>43615</v>
      </c>
      <c r="V21" s="7">
        <v>8904904737</v>
      </c>
      <c r="W21" s="8" t="s">
        <v>54</v>
      </c>
      <c r="X21" s="7" t="s">
        <v>34</v>
      </c>
      <c r="Y21" s="8" t="s">
        <v>35</v>
      </c>
      <c r="Z21" s="7" t="s">
        <v>50</v>
      </c>
      <c r="AA21" s="8" t="s">
        <v>51</v>
      </c>
      <c r="AB21" s="9">
        <f t="shared" si="0"/>
        <v>0.10605000000000001</v>
      </c>
    </row>
    <row r="22" spans="1:28" x14ac:dyDescent="0.35">
      <c r="A22" s="4">
        <v>6194</v>
      </c>
      <c r="B22" s="5" t="s">
        <v>32</v>
      </c>
      <c r="C22" s="6">
        <v>43615</v>
      </c>
      <c r="D22" s="7">
        <v>198</v>
      </c>
      <c r="E22" s="8" t="s">
        <v>55</v>
      </c>
      <c r="F22" s="7" t="s">
        <v>86</v>
      </c>
      <c r="G22" s="8" t="s">
        <v>87</v>
      </c>
      <c r="H22" s="7" t="str">
        <f>""</f>
        <v/>
      </c>
      <c r="I22" s="6">
        <v>137</v>
      </c>
      <c r="J22" s="7" t="str">
        <f>"333341"</f>
        <v>333341</v>
      </c>
      <c r="K22" s="6">
        <v>43045</v>
      </c>
      <c r="L22" s="7" t="str">
        <f>"000208"</f>
        <v>000208</v>
      </c>
      <c r="M22" s="6">
        <v>43046</v>
      </c>
      <c r="N22" s="7">
        <v>15</v>
      </c>
      <c r="O22" s="7" t="str">
        <f>"002127"</f>
        <v>002127</v>
      </c>
      <c r="P22" s="6">
        <v>43613</v>
      </c>
      <c r="Q22" s="9">
        <v>21.312919999999998</v>
      </c>
      <c r="R22" s="9">
        <v>2.7873700000000001</v>
      </c>
      <c r="S22" s="9">
        <v>18.525549999999999</v>
      </c>
      <c r="T22" s="7">
        <v>65</v>
      </c>
      <c r="U22" s="6">
        <v>43615</v>
      </c>
      <c r="V22" s="7">
        <v>9845235505</v>
      </c>
      <c r="W22" s="8" t="s">
        <v>33</v>
      </c>
      <c r="X22" s="7" t="s">
        <v>34</v>
      </c>
      <c r="Y22" s="8" t="s">
        <v>35</v>
      </c>
      <c r="Z22" s="7" t="s">
        <v>50</v>
      </c>
      <c r="AA22" s="8" t="s">
        <v>51</v>
      </c>
      <c r="AB22" s="9">
        <f t="shared" si="0"/>
        <v>0.21312919999999999</v>
      </c>
    </row>
    <row r="23" spans="1:28" x14ac:dyDescent="0.35">
      <c r="A23" s="4">
        <v>6195</v>
      </c>
      <c r="B23" s="5" t="s">
        <v>32</v>
      </c>
      <c r="C23" s="6">
        <v>43615</v>
      </c>
      <c r="D23" s="7">
        <v>198</v>
      </c>
      <c r="E23" s="8" t="s">
        <v>55</v>
      </c>
      <c r="F23" s="7" t="s">
        <v>88</v>
      </c>
      <c r="G23" s="8" t="s">
        <v>89</v>
      </c>
      <c r="H23" s="7" t="str">
        <f>""</f>
        <v/>
      </c>
      <c r="I23" s="6">
        <v>140</v>
      </c>
      <c r="J23" s="7" t="str">
        <f>"333343"</f>
        <v>333343</v>
      </c>
      <c r="K23" s="6">
        <v>43046</v>
      </c>
      <c r="L23" s="7" t="str">
        <f>"000209"</f>
        <v>000209</v>
      </c>
      <c r="M23" s="6">
        <v>43046</v>
      </c>
      <c r="N23" s="7">
        <v>15</v>
      </c>
      <c r="O23" s="7" t="str">
        <f>"002128"</f>
        <v>002128</v>
      </c>
      <c r="P23" s="6">
        <v>43613</v>
      </c>
      <c r="Q23" s="9">
        <v>16.064419999999998</v>
      </c>
      <c r="R23" s="9">
        <v>2.0979199999999998</v>
      </c>
      <c r="S23" s="9">
        <v>13.9665</v>
      </c>
      <c r="T23" s="7">
        <v>65</v>
      </c>
      <c r="U23" s="6">
        <v>43615</v>
      </c>
      <c r="V23" s="7">
        <v>9845235505</v>
      </c>
      <c r="W23" s="8" t="s">
        <v>54</v>
      </c>
      <c r="X23" s="7" t="s">
        <v>34</v>
      </c>
      <c r="Y23" s="8" t="s">
        <v>35</v>
      </c>
      <c r="Z23" s="7" t="s">
        <v>50</v>
      </c>
      <c r="AA23" s="8" t="s">
        <v>51</v>
      </c>
      <c r="AB23" s="9">
        <f t="shared" si="0"/>
        <v>0.16064419999999999</v>
      </c>
    </row>
    <row r="24" spans="1:28" x14ac:dyDescent="0.35">
      <c r="A24" s="4">
        <v>6196</v>
      </c>
      <c r="B24" s="5" t="s">
        <v>32</v>
      </c>
      <c r="C24" s="6">
        <v>43615</v>
      </c>
      <c r="D24" s="7">
        <v>198</v>
      </c>
      <c r="E24" s="8" t="s">
        <v>55</v>
      </c>
      <c r="F24" s="7" t="s">
        <v>90</v>
      </c>
      <c r="G24" s="8" t="s">
        <v>91</v>
      </c>
      <c r="H24" s="7" t="str">
        <f>""</f>
        <v/>
      </c>
      <c r="I24" s="6">
        <v>138</v>
      </c>
      <c r="J24" s="7" t="str">
        <f>"333342"</f>
        <v>333342</v>
      </c>
      <c r="K24" s="6">
        <v>43046</v>
      </c>
      <c r="L24" s="7" t="str">
        <f>"000210"</f>
        <v>000210</v>
      </c>
      <c r="M24" s="6">
        <v>43047</v>
      </c>
      <c r="N24" s="7">
        <v>15</v>
      </c>
      <c r="O24" s="7" t="str">
        <f>"002129"</f>
        <v>002129</v>
      </c>
      <c r="P24" s="6">
        <v>43613</v>
      </c>
      <c r="Q24" s="9">
        <v>33.78387</v>
      </c>
      <c r="R24" s="9">
        <v>4.4164399999999997</v>
      </c>
      <c r="S24" s="9">
        <v>29.367429999999999</v>
      </c>
      <c r="T24" s="7">
        <v>65</v>
      </c>
      <c r="U24" s="6">
        <v>43615</v>
      </c>
      <c r="V24" s="7">
        <v>9845235505</v>
      </c>
      <c r="W24" s="8" t="s">
        <v>33</v>
      </c>
      <c r="X24" s="7" t="s">
        <v>34</v>
      </c>
      <c r="Y24" s="8" t="s">
        <v>35</v>
      </c>
      <c r="Z24" s="7" t="s">
        <v>50</v>
      </c>
      <c r="AA24" s="8" t="s">
        <v>51</v>
      </c>
      <c r="AB24" s="9">
        <f t="shared" si="0"/>
        <v>0.33783869999999999</v>
      </c>
    </row>
    <row r="25" spans="1:28" x14ac:dyDescent="0.35">
      <c r="A25" s="4">
        <v>6197</v>
      </c>
      <c r="B25" s="5" t="s">
        <v>29</v>
      </c>
      <c r="C25" s="6">
        <v>43617</v>
      </c>
      <c r="D25" s="7">
        <v>198</v>
      </c>
      <c r="E25" s="8" t="s">
        <v>55</v>
      </c>
      <c r="F25" s="7" t="s">
        <v>92</v>
      </c>
      <c r="G25" s="8" t="s">
        <v>93</v>
      </c>
      <c r="H25" s="7" t="str">
        <f>"000483"</f>
        <v>000483</v>
      </c>
      <c r="I25" s="6">
        <v>43455</v>
      </c>
      <c r="J25" s="7" t="str">
        <f>"000230"</f>
        <v>000230</v>
      </c>
      <c r="K25" s="6">
        <v>43522</v>
      </c>
      <c r="L25" s="7" t="str">
        <f>"000479"</f>
        <v>000479</v>
      </c>
      <c r="M25" s="6">
        <v>43523</v>
      </c>
      <c r="N25" s="7">
        <v>19</v>
      </c>
      <c r="O25" s="7" t="str">
        <f>"001922"</f>
        <v>001922</v>
      </c>
      <c r="P25" s="6">
        <v>43607</v>
      </c>
      <c r="Q25" s="9">
        <v>73.977959999999996</v>
      </c>
      <c r="R25" s="9">
        <v>8.0762300000000007</v>
      </c>
      <c r="S25" s="9">
        <v>65.901730000000001</v>
      </c>
      <c r="T25" s="7">
        <v>67</v>
      </c>
      <c r="U25" s="6">
        <v>43617</v>
      </c>
      <c r="V25" s="7">
        <v>9845235505</v>
      </c>
      <c r="W25" s="8" t="s">
        <v>49</v>
      </c>
      <c r="X25" s="7" t="s">
        <v>44</v>
      </c>
      <c r="Y25" s="8" t="s">
        <v>45</v>
      </c>
      <c r="Z25" s="7" t="s">
        <v>50</v>
      </c>
      <c r="AA25" s="8" t="s">
        <v>51</v>
      </c>
      <c r="AB25" s="9">
        <v>0.73977959999999998</v>
      </c>
    </row>
    <row r="26" spans="1:28" x14ac:dyDescent="0.35">
      <c r="A26" s="4">
        <v>6198</v>
      </c>
      <c r="B26" s="5" t="s">
        <v>29</v>
      </c>
      <c r="C26" s="6">
        <v>43623</v>
      </c>
      <c r="D26" s="7">
        <v>198</v>
      </c>
      <c r="E26" s="8" t="s">
        <v>55</v>
      </c>
      <c r="F26" s="7" t="s">
        <v>65</v>
      </c>
      <c r="G26" s="8" t="s">
        <v>66</v>
      </c>
      <c r="H26" s="7" t="str">
        <f>"000026"</f>
        <v>000026</v>
      </c>
      <c r="I26" s="6">
        <v>42776</v>
      </c>
      <c r="J26" s="7" t="str">
        <f>"000018"</f>
        <v>000018</v>
      </c>
      <c r="K26" s="6">
        <v>43588</v>
      </c>
      <c r="L26" s="7" t="str">
        <f>"000018"</f>
        <v>000018</v>
      </c>
      <c r="M26" s="6">
        <v>43588</v>
      </c>
      <c r="N26" s="7">
        <v>16</v>
      </c>
      <c r="O26" s="7" t="str">
        <f>"002337"</f>
        <v>002337</v>
      </c>
      <c r="P26" s="6">
        <v>43617</v>
      </c>
      <c r="Q26" s="9">
        <v>3.55579</v>
      </c>
      <c r="R26" s="9">
        <v>0.51359999999999995</v>
      </c>
      <c r="S26" s="9">
        <v>3.0421900000000002</v>
      </c>
      <c r="T26" s="7">
        <v>73</v>
      </c>
      <c r="U26" s="6">
        <v>43623</v>
      </c>
      <c r="V26" s="7">
        <v>9980765550</v>
      </c>
      <c r="W26" s="8" t="s">
        <v>67</v>
      </c>
      <c r="X26" s="7" t="s">
        <v>37</v>
      </c>
      <c r="Y26" s="8" t="s">
        <v>36</v>
      </c>
      <c r="Z26" s="7" t="s">
        <v>47</v>
      </c>
      <c r="AA26" s="8" t="s">
        <v>48</v>
      </c>
      <c r="AB26" s="9">
        <v>3.5557900000000003E-2</v>
      </c>
    </row>
    <row r="27" spans="1:28" x14ac:dyDescent="0.35">
      <c r="A27" s="4">
        <v>6199</v>
      </c>
      <c r="B27" s="5" t="s">
        <v>29</v>
      </c>
      <c r="C27" s="6">
        <v>43628</v>
      </c>
      <c r="D27" s="7">
        <v>198</v>
      </c>
      <c r="E27" s="8" t="s">
        <v>55</v>
      </c>
      <c r="F27" s="7" t="s">
        <v>94</v>
      </c>
      <c r="G27" s="8" t="s">
        <v>95</v>
      </c>
      <c r="H27" s="7" t="str">
        <f>"000484"</f>
        <v>000484</v>
      </c>
      <c r="I27" s="6">
        <v>43455</v>
      </c>
      <c r="J27" s="7" t="str">
        <f>"000002"</f>
        <v>000002</v>
      </c>
      <c r="K27" s="6">
        <v>43560</v>
      </c>
      <c r="L27" s="7" t="str">
        <f>"000005"</f>
        <v>000005</v>
      </c>
      <c r="M27" s="6">
        <v>43560</v>
      </c>
      <c r="N27" s="7">
        <v>19</v>
      </c>
      <c r="O27" s="7" t="str">
        <f>"002378"</f>
        <v>002378</v>
      </c>
      <c r="P27" s="6">
        <v>43619</v>
      </c>
      <c r="Q27" s="9">
        <v>73.993949999999998</v>
      </c>
      <c r="R27" s="9">
        <v>8.2378400000000003</v>
      </c>
      <c r="S27" s="9">
        <v>65.756110000000007</v>
      </c>
      <c r="T27" s="7">
        <v>77</v>
      </c>
      <c r="U27" s="6">
        <v>43628</v>
      </c>
      <c r="V27" s="7">
        <v>9845235505</v>
      </c>
      <c r="W27" s="8" t="s">
        <v>49</v>
      </c>
      <c r="X27" s="7" t="s">
        <v>44</v>
      </c>
      <c r="Y27" s="8" t="s">
        <v>45</v>
      </c>
      <c r="Z27" s="7" t="s">
        <v>50</v>
      </c>
      <c r="AA27" s="8" t="s">
        <v>51</v>
      </c>
      <c r="AB27" s="9">
        <v>0.73993949999999997</v>
      </c>
    </row>
    <row r="28" spans="1:28" x14ac:dyDescent="0.35">
      <c r="A28" s="4">
        <v>6200</v>
      </c>
      <c r="B28" s="5" t="s">
        <v>29</v>
      </c>
      <c r="C28" s="6">
        <v>43629</v>
      </c>
      <c r="D28" s="7">
        <v>198</v>
      </c>
      <c r="E28" s="8" t="s">
        <v>55</v>
      </c>
      <c r="F28" s="7" t="s">
        <v>96</v>
      </c>
      <c r="G28" s="8" t="s">
        <v>97</v>
      </c>
      <c r="H28" s="7" t="str">
        <f>"000039"</f>
        <v>000039</v>
      </c>
      <c r="I28" s="6">
        <v>42845</v>
      </c>
      <c r="J28" s="7" t="str">
        <f>"333366"</f>
        <v>333366</v>
      </c>
      <c r="K28" s="6">
        <v>43095</v>
      </c>
      <c r="L28" s="7" t="str">
        <f>"000295"</f>
        <v>000295</v>
      </c>
      <c r="M28" s="6">
        <v>43097</v>
      </c>
      <c r="N28" s="7">
        <v>17</v>
      </c>
      <c r="O28" s="7" t="str">
        <f>"002640"</f>
        <v>002640</v>
      </c>
      <c r="P28" s="6">
        <v>43627</v>
      </c>
      <c r="Q28" s="9">
        <v>19.995799999999999</v>
      </c>
      <c r="R28" s="9">
        <v>1.8156399999999999</v>
      </c>
      <c r="S28" s="9">
        <v>18.180160000000001</v>
      </c>
      <c r="T28" s="7">
        <v>79</v>
      </c>
      <c r="U28" s="6">
        <v>43629</v>
      </c>
      <c r="V28" s="7">
        <v>9845235505</v>
      </c>
      <c r="W28" s="8" t="s">
        <v>54</v>
      </c>
      <c r="X28" s="7" t="s">
        <v>30</v>
      </c>
      <c r="Y28" s="8" t="s">
        <v>31</v>
      </c>
      <c r="Z28" s="7" t="s">
        <v>50</v>
      </c>
      <c r="AA28" s="8" t="s">
        <v>51</v>
      </c>
      <c r="AB28" s="9">
        <v>0.199958</v>
      </c>
    </row>
    <row r="29" spans="1:28" x14ac:dyDescent="0.35">
      <c r="A29" s="4">
        <v>6201</v>
      </c>
      <c r="B29" s="5" t="s">
        <v>29</v>
      </c>
      <c r="C29" s="6">
        <v>43629</v>
      </c>
      <c r="D29" s="7">
        <v>198</v>
      </c>
      <c r="E29" s="8" t="s">
        <v>55</v>
      </c>
      <c r="F29" s="7" t="s">
        <v>98</v>
      </c>
      <c r="G29" s="8" t="s">
        <v>99</v>
      </c>
      <c r="H29" s="7" t="str">
        <f>"000040"</f>
        <v>000040</v>
      </c>
      <c r="I29" s="6">
        <v>42845</v>
      </c>
      <c r="J29" s="7" t="str">
        <f>"333367"</f>
        <v>333367</v>
      </c>
      <c r="K29" s="6">
        <v>43095</v>
      </c>
      <c r="L29" s="7" t="str">
        <f>"000296"</f>
        <v>000296</v>
      </c>
      <c r="M29" s="6">
        <v>43097</v>
      </c>
      <c r="N29" s="7">
        <v>17</v>
      </c>
      <c r="O29" s="7" t="str">
        <f>"002641"</f>
        <v>002641</v>
      </c>
      <c r="P29" s="6">
        <v>43627</v>
      </c>
      <c r="Q29" s="9">
        <v>19.999759999999998</v>
      </c>
      <c r="R29" s="9">
        <v>1.81795</v>
      </c>
      <c r="S29" s="9">
        <v>18.181809999999999</v>
      </c>
      <c r="T29" s="7">
        <v>79</v>
      </c>
      <c r="U29" s="6">
        <v>43629</v>
      </c>
      <c r="V29" s="7">
        <v>9845235505</v>
      </c>
      <c r="W29" s="8" t="s">
        <v>54</v>
      </c>
      <c r="X29" s="7" t="s">
        <v>30</v>
      </c>
      <c r="Y29" s="8" t="s">
        <v>31</v>
      </c>
      <c r="Z29" s="7" t="s">
        <v>50</v>
      </c>
      <c r="AA29" s="8" t="s">
        <v>51</v>
      </c>
      <c r="AB29" s="9">
        <v>0.1999976</v>
      </c>
    </row>
    <row r="30" spans="1:28" x14ac:dyDescent="0.35">
      <c r="A30" s="4">
        <v>6202</v>
      </c>
      <c r="B30" s="5" t="s">
        <v>29</v>
      </c>
      <c r="C30" s="6">
        <v>43629</v>
      </c>
      <c r="D30" s="7">
        <v>198</v>
      </c>
      <c r="E30" s="8" t="s">
        <v>55</v>
      </c>
      <c r="F30" s="7" t="s">
        <v>100</v>
      </c>
      <c r="G30" s="8" t="s">
        <v>101</v>
      </c>
      <c r="H30" s="7" t="str">
        <f>"000041"</f>
        <v>000041</v>
      </c>
      <c r="I30" s="6">
        <v>42845</v>
      </c>
      <c r="J30" s="7" t="str">
        <f>"333368"</f>
        <v>333368</v>
      </c>
      <c r="K30" s="6">
        <v>43095</v>
      </c>
      <c r="L30" s="7" t="str">
        <f>"000298"</f>
        <v>000298</v>
      </c>
      <c r="M30" s="6">
        <v>43097</v>
      </c>
      <c r="N30" s="7">
        <v>17</v>
      </c>
      <c r="O30" s="7" t="str">
        <f>"002642"</f>
        <v>002642</v>
      </c>
      <c r="P30" s="6">
        <v>43627</v>
      </c>
      <c r="Q30" s="9">
        <v>19.998650000000001</v>
      </c>
      <c r="R30" s="9">
        <v>1.81887</v>
      </c>
      <c r="S30" s="9">
        <v>18.179780000000001</v>
      </c>
      <c r="T30" s="7">
        <v>79</v>
      </c>
      <c r="U30" s="6">
        <v>43629</v>
      </c>
      <c r="V30" s="7">
        <v>9845235505</v>
      </c>
      <c r="W30" s="8" t="s">
        <v>33</v>
      </c>
      <c r="X30" s="7" t="s">
        <v>30</v>
      </c>
      <c r="Y30" s="8" t="s">
        <v>31</v>
      </c>
      <c r="Z30" s="7" t="s">
        <v>50</v>
      </c>
      <c r="AA30" s="8" t="s">
        <v>51</v>
      </c>
      <c r="AB30" s="9">
        <v>0.19998650000000001</v>
      </c>
    </row>
    <row r="31" spans="1:28" x14ac:dyDescent="0.35">
      <c r="A31" s="4">
        <v>6203</v>
      </c>
      <c r="B31" s="5" t="s">
        <v>29</v>
      </c>
      <c r="C31" s="6">
        <v>43634</v>
      </c>
      <c r="D31" s="7">
        <v>198</v>
      </c>
      <c r="E31" s="8" t="s">
        <v>55</v>
      </c>
      <c r="F31" s="7" t="s">
        <v>102</v>
      </c>
      <c r="G31" s="8" t="s">
        <v>103</v>
      </c>
      <c r="H31" s="7" t="str">
        <f>"000037"</f>
        <v>000037</v>
      </c>
      <c r="I31" s="6">
        <v>42845</v>
      </c>
      <c r="J31" s="7" t="str">
        <f>"333375"</f>
        <v>333375</v>
      </c>
      <c r="K31" s="6">
        <v>43099</v>
      </c>
      <c r="L31" s="7" t="str">
        <f>"000307"</f>
        <v>000307</v>
      </c>
      <c r="M31" s="6">
        <v>43099</v>
      </c>
      <c r="N31" s="7">
        <v>17</v>
      </c>
      <c r="O31" s="7" t="str">
        <f>"002676"</f>
        <v>002676</v>
      </c>
      <c r="P31" s="6">
        <v>43628</v>
      </c>
      <c r="Q31" s="9">
        <v>11.994350000000001</v>
      </c>
      <c r="R31" s="9">
        <v>1.5598000000000001</v>
      </c>
      <c r="S31" s="9">
        <v>10.43455</v>
      </c>
      <c r="T31" s="7">
        <v>88</v>
      </c>
      <c r="U31" s="6">
        <v>43634</v>
      </c>
      <c r="V31" s="7">
        <v>9845235505</v>
      </c>
      <c r="W31" s="8" t="s">
        <v>54</v>
      </c>
      <c r="X31" s="7" t="s">
        <v>30</v>
      </c>
      <c r="Y31" s="8" t="s">
        <v>31</v>
      </c>
      <c r="Z31" s="7" t="s">
        <v>50</v>
      </c>
      <c r="AA31" s="8" t="s">
        <v>51</v>
      </c>
      <c r="AB31" s="9">
        <v>0.11994350000000001</v>
      </c>
    </row>
    <row r="32" spans="1:28" x14ac:dyDescent="0.35">
      <c r="A32" s="4">
        <v>6204</v>
      </c>
      <c r="B32" s="5" t="s">
        <v>29</v>
      </c>
      <c r="C32" s="6">
        <v>43634</v>
      </c>
      <c r="D32" s="7">
        <v>198</v>
      </c>
      <c r="E32" s="8" t="s">
        <v>55</v>
      </c>
      <c r="F32" s="7" t="s">
        <v>104</v>
      </c>
      <c r="G32" s="8" t="s">
        <v>105</v>
      </c>
      <c r="H32" s="7" t="str">
        <f>""</f>
        <v/>
      </c>
      <c r="I32" s="6">
        <v>37</v>
      </c>
      <c r="J32" s="7" t="str">
        <f>"333377"</f>
        <v>333377</v>
      </c>
      <c r="K32" s="6">
        <v>43099</v>
      </c>
      <c r="L32" s="7" t="str">
        <f>"000309"</f>
        <v>000309</v>
      </c>
      <c r="M32" s="6">
        <v>43099</v>
      </c>
      <c r="N32" s="7">
        <v>17</v>
      </c>
      <c r="O32" s="7" t="str">
        <f>"002677"</f>
        <v>002677</v>
      </c>
      <c r="P32" s="6">
        <v>43628</v>
      </c>
      <c r="Q32" s="9">
        <v>9.9920299999999997</v>
      </c>
      <c r="R32" s="9">
        <v>1.28403</v>
      </c>
      <c r="S32" s="9">
        <v>8.7080000000000002</v>
      </c>
      <c r="T32" s="7">
        <v>88</v>
      </c>
      <c r="U32" s="6">
        <v>43634</v>
      </c>
      <c r="V32" s="7">
        <v>9845235505</v>
      </c>
      <c r="W32" s="8" t="s">
        <v>54</v>
      </c>
      <c r="X32" s="7" t="s">
        <v>30</v>
      </c>
      <c r="Y32" s="8" t="s">
        <v>31</v>
      </c>
      <c r="Z32" s="7" t="s">
        <v>50</v>
      </c>
      <c r="AA32" s="8" t="s">
        <v>51</v>
      </c>
      <c r="AB32" s="9">
        <v>9.9920300000000004E-2</v>
      </c>
    </row>
    <row r="33" spans="1:28" x14ac:dyDescent="0.35">
      <c r="A33" s="4">
        <v>6205</v>
      </c>
      <c r="B33" s="5" t="s">
        <v>29</v>
      </c>
      <c r="C33" s="6">
        <v>43644</v>
      </c>
      <c r="D33" s="7">
        <v>198</v>
      </c>
      <c r="E33" s="8" t="s">
        <v>55</v>
      </c>
      <c r="F33" s="7" t="s">
        <v>106</v>
      </c>
      <c r="G33" s="8" t="s">
        <v>107</v>
      </c>
      <c r="H33" s="7" t="str">
        <f>"000536"</f>
        <v>000536</v>
      </c>
      <c r="I33" s="6">
        <v>43486</v>
      </c>
      <c r="J33" s="7" t="str">
        <f>"000012"</f>
        <v>000012</v>
      </c>
      <c r="K33" s="6">
        <v>43593</v>
      </c>
      <c r="L33" s="7" t="str">
        <f>"000069"</f>
        <v>000069</v>
      </c>
      <c r="M33" s="6">
        <v>43627</v>
      </c>
      <c r="N33" s="7">
        <v>19</v>
      </c>
      <c r="O33" s="7" t="str">
        <f>"002870"</f>
        <v>002870</v>
      </c>
      <c r="P33" s="6">
        <v>43636</v>
      </c>
      <c r="Q33" s="9">
        <v>1.38</v>
      </c>
      <c r="R33" s="9">
        <v>0.13800000000000001</v>
      </c>
      <c r="S33" s="9">
        <v>1.242</v>
      </c>
      <c r="T33" s="7">
        <v>95</v>
      </c>
      <c r="U33" s="6">
        <v>43644</v>
      </c>
      <c r="V33" s="7">
        <v>8553518550</v>
      </c>
      <c r="W33" s="8" t="s">
        <v>53</v>
      </c>
      <c r="X33" s="7" t="s">
        <v>40</v>
      </c>
      <c r="Y33" s="8" t="s">
        <v>41</v>
      </c>
      <c r="Z33" s="7" t="s">
        <v>50</v>
      </c>
      <c r="AA33" s="8" t="s">
        <v>51</v>
      </c>
      <c r="AB33" s="9">
        <v>1.38E-2</v>
      </c>
    </row>
    <row r="34" spans="1:28" x14ac:dyDescent="0.35">
      <c r="A34" s="4">
        <v>6206</v>
      </c>
      <c r="B34" s="5" t="s">
        <v>108</v>
      </c>
      <c r="C34" s="6">
        <v>43647</v>
      </c>
      <c r="D34" s="7">
        <v>198</v>
      </c>
      <c r="E34" s="8" t="s">
        <v>55</v>
      </c>
      <c r="F34" s="7" t="s">
        <v>109</v>
      </c>
      <c r="G34" s="10" t="s">
        <v>110</v>
      </c>
      <c r="H34" s="7" t="str">
        <f>""</f>
        <v/>
      </c>
      <c r="I34" s="7">
        <v>9</v>
      </c>
      <c r="J34" s="7" t="str">
        <f>"333381"</f>
        <v>333381</v>
      </c>
      <c r="K34" s="6">
        <v>43102</v>
      </c>
      <c r="L34" s="7" t="str">
        <f>"000331"</f>
        <v>000331</v>
      </c>
      <c r="M34" s="6">
        <v>43116</v>
      </c>
      <c r="N34" s="7">
        <v>15</v>
      </c>
      <c r="O34" s="7" t="str">
        <f>"003864"</f>
        <v>003864</v>
      </c>
      <c r="P34" s="6">
        <v>43666</v>
      </c>
      <c r="Q34" s="11">
        <v>6.9499899999999997</v>
      </c>
      <c r="R34" s="11">
        <v>0.84094999999999998</v>
      </c>
      <c r="S34" s="11">
        <v>6.1090400000000002</v>
      </c>
      <c r="T34" s="7">
        <v>96</v>
      </c>
      <c r="U34" s="6">
        <v>43647</v>
      </c>
      <c r="V34" s="7">
        <v>9845235505</v>
      </c>
      <c r="W34" s="10" t="s">
        <v>54</v>
      </c>
      <c r="X34" s="7" t="s">
        <v>111</v>
      </c>
      <c r="Y34" s="10" t="s">
        <v>112</v>
      </c>
      <c r="Z34" s="7" t="s">
        <v>50</v>
      </c>
      <c r="AA34" s="10" t="s">
        <v>51</v>
      </c>
      <c r="AB34" s="11">
        <f t="shared" ref="AB34:AB52" si="1">Q34/100</f>
        <v>6.9499900000000003E-2</v>
      </c>
    </row>
    <row r="35" spans="1:28" x14ac:dyDescent="0.35">
      <c r="A35" s="4">
        <v>6207</v>
      </c>
      <c r="B35" s="5" t="s">
        <v>108</v>
      </c>
      <c r="C35" s="6">
        <v>43647</v>
      </c>
      <c r="D35" s="7">
        <v>198</v>
      </c>
      <c r="E35" s="8" t="s">
        <v>55</v>
      </c>
      <c r="F35" s="7" t="s">
        <v>113</v>
      </c>
      <c r="G35" s="10" t="s">
        <v>114</v>
      </c>
      <c r="H35" s="7" t="str">
        <f>"000042"</f>
        <v>000042</v>
      </c>
      <c r="I35" s="6">
        <v>42845</v>
      </c>
      <c r="J35" s="7" t="str">
        <f>"333397"</f>
        <v>333397</v>
      </c>
      <c r="K35" s="6">
        <v>43118</v>
      </c>
      <c r="L35" s="7" t="str">
        <f>"000344"</f>
        <v>000344</v>
      </c>
      <c r="M35" s="6">
        <v>43119</v>
      </c>
      <c r="N35" s="7">
        <v>17</v>
      </c>
      <c r="O35" s="7" t="str">
        <f>"003108"</f>
        <v>003108</v>
      </c>
      <c r="P35" s="6">
        <v>43641</v>
      </c>
      <c r="Q35" s="11">
        <v>19.998550000000002</v>
      </c>
      <c r="R35" s="11">
        <v>1.8178399999999999</v>
      </c>
      <c r="S35" s="11">
        <v>18.180710000000001</v>
      </c>
      <c r="T35" s="7">
        <v>96</v>
      </c>
      <c r="U35" s="6">
        <v>43647</v>
      </c>
      <c r="V35" s="7">
        <v>9845235505</v>
      </c>
      <c r="W35" s="10" t="s">
        <v>54</v>
      </c>
      <c r="X35" s="7" t="s">
        <v>30</v>
      </c>
      <c r="Y35" s="10" t="s">
        <v>31</v>
      </c>
      <c r="Z35" s="7" t="s">
        <v>50</v>
      </c>
      <c r="AA35" s="10" t="s">
        <v>51</v>
      </c>
      <c r="AB35" s="11">
        <f t="shared" si="1"/>
        <v>0.19998550000000001</v>
      </c>
    </row>
    <row r="36" spans="1:28" x14ac:dyDescent="0.35">
      <c r="A36" s="4">
        <v>6208</v>
      </c>
      <c r="B36" s="5" t="s">
        <v>108</v>
      </c>
      <c r="C36" s="6">
        <v>43647</v>
      </c>
      <c r="D36" s="7">
        <v>198</v>
      </c>
      <c r="E36" s="8" t="s">
        <v>55</v>
      </c>
      <c r="F36" s="7" t="s">
        <v>115</v>
      </c>
      <c r="G36" s="10" t="s">
        <v>116</v>
      </c>
      <c r="H36" s="7" t="str">
        <f>"000029"</f>
        <v>000029</v>
      </c>
      <c r="I36" s="6">
        <v>43623</v>
      </c>
      <c r="J36" s="7" t="str">
        <f>"000035"</f>
        <v>000035</v>
      </c>
      <c r="K36" s="6">
        <v>43629</v>
      </c>
      <c r="L36" s="7" t="str">
        <f>"000073"</f>
        <v>000073</v>
      </c>
      <c r="M36" s="6">
        <v>43630</v>
      </c>
      <c r="N36" s="7">
        <v>19</v>
      </c>
      <c r="O36" s="7" t="str">
        <f>"003140"</f>
        <v>003140</v>
      </c>
      <c r="P36" s="6">
        <v>43643</v>
      </c>
      <c r="Q36" s="11">
        <v>88.359960000000001</v>
      </c>
      <c r="R36" s="11">
        <v>8.6183399999999999</v>
      </c>
      <c r="S36" s="11">
        <v>79.741619999999998</v>
      </c>
      <c r="T36" s="7">
        <v>99</v>
      </c>
      <c r="U36" s="6">
        <v>43647</v>
      </c>
      <c r="V36" s="7">
        <v>9845222227</v>
      </c>
      <c r="W36" s="10" t="s">
        <v>117</v>
      </c>
      <c r="X36" s="7" t="s">
        <v>118</v>
      </c>
      <c r="Y36" s="10" t="s">
        <v>119</v>
      </c>
      <c r="Z36" s="7" t="s">
        <v>50</v>
      </c>
      <c r="AA36" s="10" t="s">
        <v>51</v>
      </c>
      <c r="AB36" s="11">
        <f t="shared" si="1"/>
        <v>0.88359960000000004</v>
      </c>
    </row>
    <row r="37" spans="1:28" x14ac:dyDescent="0.35">
      <c r="A37" s="4">
        <v>6209</v>
      </c>
      <c r="B37" s="5" t="s">
        <v>108</v>
      </c>
      <c r="C37" s="6">
        <v>43647</v>
      </c>
      <c r="D37" s="7">
        <v>198</v>
      </c>
      <c r="E37" s="8" t="s">
        <v>55</v>
      </c>
      <c r="F37" s="7" t="s">
        <v>120</v>
      </c>
      <c r="G37" s="10" t="s">
        <v>121</v>
      </c>
      <c r="H37" s="7" t="str">
        <f>"000030"</f>
        <v>000030</v>
      </c>
      <c r="I37" s="6">
        <v>43623</v>
      </c>
      <c r="J37" s="7" t="str">
        <f>"000036"</f>
        <v>000036</v>
      </c>
      <c r="K37" s="6">
        <v>43629</v>
      </c>
      <c r="L37" s="7" t="str">
        <f>"000076"</f>
        <v>000076</v>
      </c>
      <c r="M37" s="6">
        <v>43630</v>
      </c>
      <c r="N37" s="7">
        <v>19</v>
      </c>
      <c r="O37" s="7" t="str">
        <f>"003144"</f>
        <v>003144</v>
      </c>
      <c r="P37" s="6">
        <v>43643</v>
      </c>
      <c r="Q37" s="11">
        <v>88.378100000000003</v>
      </c>
      <c r="R37" s="11">
        <v>8.6450600000000009</v>
      </c>
      <c r="S37" s="11">
        <v>79.733040000000003</v>
      </c>
      <c r="T37" s="7">
        <v>99</v>
      </c>
      <c r="U37" s="6">
        <v>43647</v>
      </c>
      <c r="V37" s="7">
        <v>9845222227</v>
      </c>
      <c r="W37" s="10" t="s">
        <v>117</v>
      </c>
      <c r="X37" s="7" t="s">
        <v>118</v>
      </c>
      <c r="Y37" s="10" t="s">
        <v>119</v>
      </c>
      <c r="Z37" s="7" t="s">
        <v>50</v>
      </c>
      <c r="AA37" s="10" t="s">
        <v>51</v>
      </c>
      <c r="AB37" s="11">
        <f t="shared" si="1"/>
        <v>0.88378100000000004</v>
      </c>
    </row>
    <row r="38" spans="1:28" x14ac:dyDescent="0.35">
      <c r="A38" s="4">
        <v>6210</v>
      </c>
      <c r="B38" s="5" t="s">
        <v>108</v>
      </c>
      <c r="C38" s="6">
        <v>43671</v>
      </c>
      <c r="D38" s="7">
        <v>198</v>
      </c>
      <c r="E38" s="8" t="s">
        <v>55</v>
      </c>
      <c r="F38" s="7" t="s">
        <v>109</v>
      </c>
      <c r="G38" s="10" t="s">
        <v>110</v>
      </c>
      <c r="H38" s="7" t="str">
        <f>""</f>
        <v/>
      </c>
      <c r="I38" s="7">
        <v>9</v>
      </c>
      <c r="J38" s="7" t="str">
        <f>"333381"</f>
        <v>333381</v>
      </c>
      <c r="K38" s="6">
        <v>43102</v>
      </c>
      <c r="L38" s="7" t="str">
        <f>"000331"</f>
        <v>000331</v>
      </c>
      <c r="M38" s="6">
        <v>43116</v>
      </c>
      <c r="N38" s="7">
        <v>15</v>
      </c>
      <c r="O38" s="7" t="str">
        <f>"003864"</f>
        <v>003864</v>
      </c>
      <c r="P38" s="6">
        <v>43666</v>
      </c>
      <c r="Q38" s="11">
        <v>10.131550000000001</v>
      </c>
      <c r="R38" s="11">
        <v>1.2259199999999999</v>
      </c>
      <c r="S38" s="11">
        <v>8.9056300000000004</v>
      </c>
      <c r="T38" s="7">
        <v>125</v>
      </c>
      <c r="U38" s="6">
        <v>43671</v>
      </c>
      <c r="V38" s="7">
        <v>9845235505</v>
      </c>
      <c r="W38" s="10" t="s">
        <v>54</v>
      </c>
      <c r="X38" s="7" t="s">
        <v>111</v>
      </c>
      <c r="Y38" s="10" t="s">
        <v>112</v>
      </c>
      <c r="Z38" s="7" t="s">
        <v>50</v>
      </c>
      <c r="AA38" s="10" t="s">
        <v>51</v>
      </c>
      <c r="AB38" s="11">
        <f t="shared" si="1"/>
        <v>0.1013155</v>
      </c>
    </row>
    <row r="39" spans="1:28" x14ac:dyDescent="0.35">
      <c r="A39" s="4">
        <v>6211</v>
      </c>
      <c r="B39" s="5" t="s">
        <v>108</v>
      </c>
      <c r="C39" s="6">
        <v>43671</v>
      </c>
      <c r="D39" s="7">
        <v>198</v>
      </c>
      <c r="E39" s="8" t="s">
        <v>55</v>
      </c>
      <c r="F39" s="7" t="s">
        <v>122</v>
      </c>
      <c r="G39" s="10" t="s">
        <v>123</v>
      </c>
      <c r="H39" s="7" t="str">
        <f>"000002"</f>
        <v>000002</v>
      </c>
      <c r="I39" s="6">
        <v>42467</v>
      </c>
      <c r="J39" s="7" t="str">
        <f>"333384"</f>
        <v>333384</v>
      </c>
      <c r="K39" s="6">
        <v>43102</v>
      </c>
      <c r="L39" s="7" t="str">
        <f>"000332"</f>
        <v>000332</v>
      </c>
      <c r="M39" s="6">
        <v>43116</v>
      </c>
      <c r="N39" s="7">
        <v>15</v>
      </c>
      <c r="O39" s="7" t="str">
        <f>"004878"</f>
        <v>004878</v>
      </c>
      <c r="P39" s="6">
        <v>43707</v>
      </c>
      <c r="Q39" s="11">
        <v>10.131550000000001</v>
      </c>
      <c r="R39" s="11">
        <v>1.2259199999999999</v>
      </c>
      <c r="S39" s="11">
        <v>8.9056300000000004</v>
      </c>
      <c r="T39" s="7">
        <v>125</v>
      </c>
      <c r="U39" s="6">
        <v>43671</v>
      </c>
      <c r="V39" s="7">
        <v>9845235505</v>
      </c>
      <c r="W39" s="10" t="s">
        <v>54</v>
      </c>
      <c r="X39" s="7" t="s">
        <v>111</v>
      </c>
      <c r="Y39" s="10" t="s">
        <v>112</v>
      </c>
      <c r="Z39" s="7" t="s">
        <v>50</v>
      </c>
      <c r="AA39" s="10" t="s">
        <v>51</v>
      </c>
      <c r="AB39" s="11">
        <f t="shared" si="1"/>
        <v>0.1013155</v>
      </c>
    </row>
    <row r="40" spans="1:28" x14ac:dyDescent="0.35">
      <c r="A40" s="4">
        <v>6212</v>
      </c>
      <c r="B40" s="5" t="s">
        <v>108</v>
      </c>
      <c r="C40" s="6">
        <v>43672</v>
      </c>
      <c r="D40" s="7">
        <v>198</v>
      </c>
      <c r="E40" s="8" t="s">
        <v>55</v>
      </c>
      <c r="F40" s="7" t="s">
        <v>63</v>
      </c>
      <c r="G40" s="10" t="s">
        <v>64</v>
      </c>
      <c r="H40" s="7" t="str">
        <f>"000027"</f>
        <v>000027</v>
      </c>
      <c r="I40" s="6">
        <v>42808</v>
      </c>
      <c r="J40" s="7" t="str">
        <f>"000121"</f>
        <v>000121</v>
      </c>
      <c r="K40" s="6">
        <v>43768</v>
      </c>
      <c r="L40" s="7" t="str">
        <f>"000121"</f>
        <v>000121</v>
      </c>
      <c r="M40" s="6">
        <v>43768</v>
      </c>
      <c r="N40" s="7">
        <v>16</v>
      </c>
      <c r="O40" s="7" t="str">
        <f>"006144"</f>
        <v>006144</v>
      </c>
      <c r="P40" s="6">
        <v>43776</v>
      </c>
      <c r="Q40" s="11">
        <v>2.2252200000000002</v>
      </c>
      <c r="R40" s="11">
        <v>0.27822999999999998</v>
      </c>
      <c r="S40" s="11">
        <v>1.94699</v>
      </c>
      <c r="T40" s="7">
        <v>129</v>
      </c>
      <c r="U40" s="6">
        <v>43672</v>
      </c>
      <c r="V40" s="7">
        <v>8861333185</v>
      </c>
      <c r="W40" s="10" t="s">
        <v>62</v>
      </c>
      <c r="X40" s="7" t="s">
        <v>37</v>
      </c>
      <c r="Y40" s="10" t="s">
        <v>36</v>
      </c>
      <c r="Z40" s="7" t="s">
        <v>47</v>
      </c>
      <c r="AA40" s="10" t="s">
        <v>48</v>
      </c>
      <c r="AB40" s="11">
        <f t="shared" si="1"/>
        <v>2.2252200000000003E-2</v>
      </c>
    </row>
    <row r="41" spans="1:28" x14ac:dyDescent="0.35">
      <c r="A41" s="4">
        <v>6213</v>
      </c>
      <c r="B41" s="5" t="s">
        <v>108</v>
      </c>
      <c r="C41" s="6">
        <v>43672</v>
      </c>
      <c r="D41" s="7">
        <v>198</v>
      </c>
      <c r="E41" s="8" t="s">
        <v>55</v>
      </c>
      <c r="F41" s="7" t="s">
        <v>60</v>
      </c>
      <c r="G41" s="10" t="s">
        <v>61</v>
      </c>
      <c r="H41" s="7" t="str">
        <f>"000024"</f>
        <v>000024</v>
      </c>
      <c r="I41" s="6">
        <v>42776</v>
      </c>
      <c r="J41" s="7" t="str">
        <f>"000122"</f>
        <v>000122</v>
      </c>
      <c r="K41" s="6">
        <v>43768</v>
      </c>
      <c r="L41" s="7" t="str">
        <f>"000122"</f>
        <v>000122</v>
      </c>
      <c r="M41" s="6">
        <v>43768</v>
      </c>
      <c r="N41" s="7">
        <v>16</v>
      </c>
      <c r="O41" s="7" t="str">
        <f>"006145"</f>
        <v>006145</v>
      </c>
      <c r="P41" s="6">
        <v>43776</v>
      </c>
      <c r="Q41" s="11">
        <v>2.21502</v>
      </c>
      <c r="R41" s="11">
        <v>0.27714</v>
      </c>
      <c r="S41" s="11">
        <v>1.93788</v>
      </c>
      <c r="T41" s="7">
        <v>129</v>
      </c>
      <c r="U41" s="6">
        <v>43672</v>
      </c>
      <c r="V41" s="7">
        <v>9845937757</v>
      </c>
      <c r="W41" s="10" t="s">
        <v>62</v>
      </c>
      <c r="X41" s="7" t="s">
        <v>37</v>
      </c>
      <c r="Y41" s="10" t="s">
        <v>36</v>
      </c>
      <c r="Z41" s="7" t="s">
        <v>47</v>
      </c>
      <c r="AA41" s="10" t="s">
        <v>48</v>
      </c>
      <c r="AB41" s="11">
        <f t="shared" si="1"/>
        <v>2.2150199999999998E-2</v>
      </c>
    </row>
    <row r="42" spans="1:28" x14ac:dyDescent="0.35">
      <c r="A42" s="4">
        <v>6214</v>
      </c>
      <c r="B42" s="5" t="s">
        <v>108</v>
      </c>
      <c r="C42" s="6">
        <v>43677</v>
      </c>
      <c r="D42" s="7">
        <v>198</v>
      </c>
      <c r="E42" s="8" t="s">
        <v>55</v>
      </c>
      <c r="F42" s="7" t="s">
        <v>124</v>
      </c>
      <c r="G42" s="10" t="s">
        <v>125</v>
      </c>
      <c r="H42" s="7" t="str">
        <f>"000035"</f>
        <v>000035</v>
      </c>
      <c r="I42" s="6">
        <v>43191</v>
      </c>
      <c r="J42" s="7" t="str">
        <f>"000179"</f>
        <v>000179</v>
      </c>
      <c r="K42" s="6">
        <v>43305</v>
      </c>
      <c r="L42" s="7" t="str">
        <f>"000276"</f>
        <v>000276</v>
      </c>
      <c r="M42" s="6">
        <v>43305</v>
      </c>
      <c r="N42" s="7">
        <v>17</v>
      </c>
      <c r="O42" s="7" t="str">
        <f>"004076"</f>
        <v>004076</v>
      </c>
      <c r="P42" s="6">
        <v>43672</v>
      </c>
      <c r="Q42" s="11">
        <v>12.07213</v>
      </c>
      <c r="R42" s="11">
        <v>0.97785</v>
      </c>
      <c r="S42" s="11">
        <v>11.094279999999999</v>
      </c>
      <c r="T42" s="7">
        <v>136</v>
      </c>
      <c r="U42" s="6">
        <v>43677</v>
      </c>
      <c r="V42" s="7">
        <v>9845235505</v>
      </c>
      <c r="W42" s="10" t="s">
        <v>126</v>
      </c>
      <c r="X42" s="7" t="s">
        <v>30</v>
      </c>
      <c r="Y42" s="10" t="s">
        <v>31</v>
      </c>
      <c r="Z42" s="7" t="s">
        <v>50</v>
      </c>
      <c r="AA42" s="10" t="s">
        <v>51</v>
      </c>
      <c r="AB42" s="11">
        <f t="shared" si="1"/>
        <v>0.12072129999999999</v>
      </c>
    </row>
    <row r="43" spans="1:28" x14ac:dyDescent="0.35">
      <c r="A43" s="4">
        <v>6215</v>
      </c>
      <c r="B43" s="5" t="s">
        <v>127</v>
      </c>
      <c r="C43" s="6">
        <v>43696</v>
      </c>
      <c r="D43" s="7">
        <v>198</v>
      </c>
      <c r="E43" s="8" t="s">
        <v>55</v>
      </c>
      <c r="F43" s="7" t="s">
        <v>128</v>
      </c>
      <c r="G43" s="10" t="s">
        <v>129</v>
      </c>
      <c r="H43" s="7" t="str">
        <f>"000068"</f>
        <v>000068</v>
      </c>
      <c r="I43" s="6">
        <v>43060</v>
      </c>
      <c r="J43" s="7" t="str">
        <f>"333369"</f>
        <v>333369</v>
      </c>
      <c r="K43" s="6">
        <v>43096</v>
      </c>
      <c r="L43" s="7" t="str">
        <f>"000394"</f>
        <v>000394</v>
      </c>
      <c r="M43" s="6">
        <v>43166</v>
      </c>
      <c r="N43" s="7">
        <v>17</v>
      </c>
      <c r="O43" s="7" t="str">
        <f>"004339"</f>
        <v>004339</v>
      </c>
      <c r="P43" s="6">
        <v>43683</v>
      </c>
      <c r="Q43" s="11">
        <v>147.03586999999999</v>
      </c>
      <c r="R43" s="11">
        <v>13.3748</v>
      </c>
      <c r="S43" s="11">
        <v>133.66107</v>
      </c>
      <c r="T43" s="7">
        <v>158</v>
      </c>
      <c r="U43" s="6">
        <v>43696</v>
      </c>
      <c r="V43" s="7">
        <v>8904904737</v>
      </c>
      <c r="W43" s="10" t="s">
        <v>54</v>
      </c>
      <c r="X43" s="7" t="s">
        <v>111</v>
      </c>
      <c r="Y43" s="10" t="s">
        <v>112</v>
      </c>
      <c r="Z43" s="7" t="s">
        <v>50</v>
      </c>
      <c r="AA43" s="10" t="s">
        <v>51</v>
      </c>
      <c r="AB43" s="11">
        <f t="shared" si="1"/>
        <v>1.4703586999999998</v>
      </c>
    </row>
    <row r="44" spans="1:28" x14ac:dyDescent="0.35">
      <c r="A44" s="4">
        <v>6216</v>
      </c>
      <c r="B44" s="5" t="s">
        <v>127</v>
      </c>
      <c r="C44" s="6">
        <v>43696</v>
      </c>
      <c r="D44" s="7">
        <v>198</v>
      </c>
      <c r="E44" s="8" t="s">
        <v>55</v>
      </c>
      <c r="F44" s="7" t="s">
        <v>130</v>
      </c>
      <c r="G44" s="10" t="s">
        <v>131</v>
      </c>
      <c r="H44" s="7" t="str">
        <f>"000069"</f>
        <v>000069</v>
      </c>
      <c r="I44" s="6">
        <v>43060</v>
      </c>
      <c r="J44" s="7" t="str">
        <f>"333370"</f>
        <v>333370</v>
      </c>
      <c r="K44" s="6">
        <v>43096</v>
      </c>
      <c r="L44" s="7" t="str">
        <f>"000395"</f>
        <v>000395</v>
      </c>
      <c r="M44" s="6">
        <v>43166</v>
      </c>
      <c r="N44" s="7">
        <v>17</v>
      </c>
      <c r="O44" s="7" t="str">
        <f>"004340"</f>
        <v>004340</v>
      </c>
      <c r="P44" s="6">
        <v>43683</v>
      </c>
      <c r="Q44" s="11">
        <v>97.990570000000005</v>
      </c>
      <c r="R44" s="11">
        <v>8.9152199999999997</v>
      </c>
      <c r="S44" s="11">
        <v>89.07535</v>
      </c>
      <c r="T44" s="7">
        <v>158</v>
      </c>
      <c r="U44" s="6">
        <v>43696</v>
      </c>
      <c r="V44" s="7">
        <v>8904904737</v>
      </c>
      <c r="W44" s="10" t="s">
        <v>54</v>
      </c>
      <c r="X44" s="7" t="s">
        <v>111</v>
      </c>
      <c r="Y44" s="10" t="s">
        <v>112</v>
      </c>
      <c r="Z44" s="7" t="s">
        <v>50</v>
      </c>
      <c r="AA44" s="10" t="s">
        <v>51</v>
      </c>
      <c r="AB44" s="11">
        <f t="shared" si="1"/>
        <v>0.9799057000000001</v>
      </c>
    </row>
    <row r="45" spans="1:28" x14ac:dyDescent="0.35">
      <c r="A45" s="4">
        <v>6217</v>
      </c>
      <c r="B45" s="5" t="s">
        <v>127</v>
      </c>
      <c r="C45" s="6">
        <v>43696</v>
      </c>
      <c r="D45" s="7">
        <v>198</v>
      </c>
      <c r="E45" s="8" t="s">
        <v>55</v>
      </c>
      <c r="F45" s="7" t="s">
        <v>132</v>
      </c>
      <c r="G45" s="10" t="s">
        <v>133</v>
      </c>
      <c r="H45" s="7" t="str">
        <f>"000098"</f>
        <v>000098</v>
      </c>
      <c r="I45" s="6">
        <v>43074</v>
      </c>
      <c r="J45" s="7" t="str">
        <f>"333448"</f>
        <v>333448</v>
      </c>
      <c r="K45" s="6">
        <v>43173</v>
      </c>
      <c r="L45" s="7" t="str">
        <f>"000414"</f>
        <v>000414</v>
      </c>
      <c r="M45" s="6">
        <v>43173</v>
      </c>
      <c r="N45" s="7">
        <v>18</v>
      </c>
      <c r="O45" s="7" t="str">
        <f>"004397"</f>
        <v>004397</v>
      </c>
      <c r="P45" s="6">
        <v>43686</v>
      </c>
      <c r="Q45" s="11">
        <v>48.118040000000001</v>
      </c>
      <c r="R45" s="11">
        <v>4.1575600000000001</v>
      </c>
      <c r="S45" s="11">
        <v>43.960479999999997</v>
      </c>
      <c r="T45" s="7">
        <v>158</v>
      </c>
      <c r="U45" s="6">
        <v>43696</v>
      </c>
      <c r="V45" s="7">
        <v>8904904737</v>
      </c>
      <c r="W45" s="10" t="s">
        <v>54</v>
      </c>
      <c r="X45" s="7" t="s">
        <v>58</v>
      </c>
      <c r="Y45" s="10" t="s">
        <v>59</v>
      </c>
      <c r="Z45" s="7" t="s">
        <v>50</v>
      </c>
      <c r="AA45" s="10" t="s">
        <v>51</v>
      </c>
      <c r="AB45" s="11">
        <f t="shared" si="1"/>
        <v>0.48118040000000001</v>
      </c>
    </row>
    <row r="46" spans="1:28" x14ac:dyDescent="0.35">
      <c r="A46" s="4">
        <v>6218</v>
      </c>
      <c r="B46" s="5" t="s">
        <v>127</v>
      </c>
      <c r="C46" s="6">
        <v>43696</v>
      </c>
      <c r="D46" s="7">
        <v>198</v>
      </c>
      <c r="E46" s="8" t="s">
        <v>55</v>
      </c>
      <c r="F46" s="7" t="s">
        <v>134</v>
      </c>
      <c r="G46" s="10" t="s">
        <v>135</v>
      </c>
      <c r="H46" s="7" t="str">
        <f>"000099"</f>
        <v>000099</v>
      </c>
      <c r="I46" s="6">
        <v>43074</v>
      </c>
      <c r="J46" s="7" t="str">
        <f>"333452"</f>
        <v>333452</v>
      </c>
      <c r="K46" s="6">
        <v>43173</v>
      </c>
      <c r="L46" s="7" t="str">
        <f>"000416"</f>
        <v>000416</v>
      </c>
      <c r="M46" s="6">
        <v>43173</v>
      </c>
      <c r="N46" s="7">
        <v>18</v>
      </c>
      <c r="O46" s="7" t="str">
        <f>"004398"</f>
        <v>004398</v>
      </c>
      <c r="P46" s="6">
        <v>43686</v>
      </c>
      <c r="Q46" s="11">
        <v>72.214680000000001</v>
      </c>
      <c r="R46" s="11">
        <v>6.2894199999999998</v>
      </c>
      <c r="S46" s="11">
        <v>65.925259999999994</v>
      </c>
      <c r="T46" s="7">
        <v>158</v>
      </c>
      <c r="U46" s="6">
        <v>43696</v>
      </c>
      <c r="V46" s="7">
        <v>8904904737</v>
      </c>
      <c r="W46" s="10" t="s">
        <v>54</v>
      </c>
      <c r="X46" s="7" t="s">
        <v>58</v>
      </c>
      <c r="Y46" s="10" t="s">
        <v>59</v>
      </c>
      <c r="Z46" s="7" t="s">
        <v>50</v>
      </c>
      <c r="AA46" s="10" t="s">
        <v>51</v>
      </c>
      <c r="AB46" s="11">
        <f t="shared" si="1"/>
        <v>0.72214679999999998</v>
      </c>
    </row>
    <row r="47" spans="1:28" x14ac:dyDescent="0.35">
      <c r="A47" s="4">
        <v>6219</v>
      </c>
      <c r="B47" s="5" t="s">
        <v>127</v>
      </c>
      <c r="C47" s="6">
        <v>43696</v>
      </c>
      <c r="D47" s="7">
        <v>198</v>
      </c>
      <c r="E47" s="8" t="s">
        <v>55</v>
      </c>
      <c r="F47" s="7" t="s">
        <v>136</v>
      </c>
      <c r="G47" s="10" t="s">
        <v>137</v>
      </c>
      <c r="H47" s="7" t="str">
        <f>"000071"</f>
        <v>000071</v>
      </c>
      <c r="I47" s="6">
        <v>43060</v>
      </c>
      <c r="J47" s="7" t="str">
        <f>"333449"</f>
        <v>333449</v>
      </c>
      <c r="K47" s="6">
        <v>43173</v>
      </c>
      <c r="L47" s="7" t="str">
        <f>"000418"</f>
        <v>000418</v>
      </c>
      <c r="M47" s="6">
        <v>43173</v>
      </c>
      <c r="N47" s="7">
        <v>17</v>
      </c>
      <c r="O47" s="7" t="str">
        <f>"004399"</f>
        <v>004399</v>
      </c>
      <c r="P47" s="6">
        <v>43686</v>
      </c>
      <c r="Q47" s="11">
        <v>48.140940000000001</v>
      </c>
      <c r="R47" s="11">
        <v>4.1794200000000004</v>
      </c>
      <c r="S47" s="11">
        <v>43.96152</v>
      </c>
      <c r="T47" s="7">
        <v>158</v>
      </c>
      <c r="U47" s="6">
        <v>43696</v>
      </c>
      <c r="V47" s="7">
        <v>8904904737</v>
      </c>
      <c r="W47" s="10" t="s">
        <v>54</v>
      </c>
      <c r="X47" s="7" t="s">
        <v>111</v>
      </c>
      <c r="Y47" s="10" t="s">
        <v>112</v>
      </c>
      <c r="Z47" s="7" t="s">
        <v>50</v>
      </c>
      <c r="AA47" s="10" t="s">
        <v>51</v>
      </c>
      <c r="AB47" s="11">
        <f t="shared" si="1"/>
        <v>0.48140939999999999</v>
      </c>
    </row>
    <row r="48" spans="1:28" x14ac:dyDescent="0.35">
      <c r="A48" s="4">
        <v>6220</v>
      </c>
      <c r="B48" s="5" t="s">
        <v>127</v>
      </c>
      <c r="C48" s="6">
        <v>43704</v>
      </c>
      <c r="D48" s="7">
        <v>198</v>
      </c>
      <c r="E48" s="8" t="s">
        <v>55</v>
      </c>
      <c r="F48" s="7" t="s">
        <v>138</v>
      </c>
      <c r="G48" s="10" t="s">
        <v>139</v>
      </c>
      <c r="H48" s="7" t="str">
        <f>"000096"</f>
        <v>000096</v>
      </c>
      <c r="I48" s="6">
        <v>43074</v>
      </c>
      <c r="J48" s="7" t="str">
        <f>"333455"</f>
        <v>333455</v>
      </c>
      <c r="K48" s="6">
        <v>43175</v>
      </c>
      <c r="L48" s="7" t="str">
        <f>"000421"</f>
        <v>000421</v>
      </c>
      <c r="M48" s="6">
        <v>43178</v>
      </c>
      <c r="N48" s="7">
        <v>18</v>
      </c>
      <c r="O48" s="7" t="str">
        <f>"004537"</f>
        <v>004537</v>
      </c>
      <c r="P48" s="6">
        <v>43693</v>
      </c>
      <c r="Q48" s="11">
        <v>96.299099999999996</v>
      </c>
      <c r="R48" s="11">
        <v>8.3302399999999999</v>
      </c>
      <c r="S48" s="11">
        <v>87.968860000000006</v>
      </c>
      <c r="T48" s="7">
        <v>166</v>
      </c>
      <c r="U48" s="6">
        <v>43704</v>
      </c>
      <c r="V48" s="7">
        <v>8904904737</v>
      </c>
      <c r="W48" s="10" t="s">
        <v>54</v>
      </c>
      <c r="X48" s="7" t="s">
        <v>58</v>
      </c>
      <c r="Y48" s="10" t="s">
        <v>59</v>
      </c>
      <c r="Z48" s="7" t="s">
        <v>50</v>
      </c>
      <c r="AA48" s="10" t="s">
        <v>51</v>
      </c>
      <c r="AB48" s="11">
        <f t="shared" si="1"/>
        <v>0.96299099999999993</v>
      </c>
    </row>
    <row r="49" spans="1:28" x14ac:dyDescent="0.35">
      <c r="A49" s="4">
        <v>6221</v>
      </c>
      <c r="B49" s="5" t="s">
        <v>127</v>
      </c>
      <c r="C49" s="6">
        <v>43704</v>
      </c>
      <c r="D49" s="7">
        <v>198</v>
      </c>
      <c r="E49" s="8" t="s">
        <v>55</v>
      </c>
      <c r="F49" s="7" t="s">
        <v>140</v>
      </c>
      <c r="G49" s="10" t="s">
        <v>141</v>
      </c>
      <c r="H49" s="7" t="str">
        <f>"000097"</f>
        <v>000097</v>
      </c>
      <c r="I49" s="6">
        <v>43074</v>
      </c>
      <c r="J49" s="7" t="str">
        <f>"333450"</f>
        <v>333450</v>
      </c>
      <c r="K49" s="6">
        <v>43173</v>
      </c>
      <c r="L49" s="7" t="str">
        <f>"000415"</f>
        <v>000415</v>
      </c>
      <c r="M49" s="6">
        <v>43173</v>
      </c>
      <c r="N49" s="7">
        <v>18</v>
      </c>
      <c r="O49" s="7" t="str">
        <f>"004547"</f>
        <v>004547</v>
      </c>
      <c r="P49" s="6">
        <v>43693</v>
      </c>
      <c r="Q49" s="11">
        <v>96.247380000000007</v>
      </c>
      <c r="R49" s="11">
        <v>8.3961400000000008</v>
      </c>
      <c r="S49" s="11">
        <v>87.851240000000004</v>
      </c>
      <c r="T49" s="7">
        <v>166</v>
      </c>
      <c r="U49" s="6">
        <v>43704</v>
      </c>
      <c r="V49" s="7">
        <v>8904904737</v>
      </c>
      <c r="W49" s="10" t="s">
        <v>54</v>
      </c>
      <c r="X49" s="7" t="s">
        <v>58</v>
      </c>
      <c r="Y49" s="10" t="s">
        <v>59</v>
      </c>
      <c r="Z49" s="7" t="s">
        <v>50</v>
      </c>
      <c r="AA49" s="10" t="s">
        <v>51</v>
      </c>
      <c r="AB49" s="11">
        <f t="shared" si="1"/>
        <v>0.96247380000000005</v>
      </c>
    </row>
    <row r="50" spans="1:28" x14ac:dyDescent="0.35">
      <c r="A50" s="4">
        <v>6222</v>
      </c>
      <c r="B50" s="5" t="s">
        <v>142</v>
      </c>
      <c r="C50" s="6">
        <v>43720</v>
      </c>
      <c r="D50" s="7">
        <v>198</v>
      </c>
      <c r="E50" s="8" t="s">
        <v>55</v>
      </c>
      <c r="F50" s="7" t="s">
        <v>122</v>
      </c>
      <c r="G50" s="10" t="s">
        <v>123</v>
      </c>
      <c r="H50" s="7" t="str">
        <f>"000002"</f>
        <v>000002</v>
      </c>
      <c r="I50" s="6">
        <v>42467</v>
      </c>
      <c r="J50" s="7" t="str">
        <f>"333384"</f>
        <v>333384</v>
      </c>
      <c r="K50" s="6">
        <v>43102</v>
      </c>
      <c r="L50" s="7" t="str">
        <f>"000332"</f>
        <v>000332</v>
      </c>
      <c r="M50" s="6">
        <v>43116</v>
      </c>
      <c r="N50" s="7">
        <v>15</v>
      </c>
      <c r="O50" s="7" t="str">
        <f>"004878"</f>
        <v>004878</v>
      </c>
      <c r="P50" s="6">
        <v>43707</v>
      </c>
      <c r="Q50" s="11">
        <v>2.4072800000000001</v>
      </c>
      <c r="R50" s="11">
        <v>0.19500000000000001</v>
      </c>
      <c r="S50" s="11">
        <v>2.2122799999999998</v>
      </c>
      <c r="T50" s="7">
        <v>184</v>
      </c>
      <c r="U50" s="6">
        <v>43720</v>
      </c>
      <c r="V50" s="7">
        <v>9845235505</v>
      </c>
      <c r="W50" s="10" t="s">
        <v>54</v>
      </c>
      <c r="X50" s="7" t="s">
        <v>111</v>
      </c>
      <c r="Y50" s="10" t="s">
        <v>112</v>
      </c>
      <c r="Z50" s="7" t="s">
        <v>50</v>
      </c>
      <c r="AA50" s="10" t="s">
        <v>51</v>
      </c>
      <c r="AB50" s="11">
        <f t="shared" si="1"/>
        <v>2.4072800000000002E-2</v>
      </c>
    </row>
    <row r="51" spans="1:28" x14ac:dyDescent="0.35">
      <c r="A51" s="4">
        <v>6223</v>
      </c>
      <c r="B51" s="5" t="s">
        <v>142</v>
      </c>
      <c r="C51" s="6">
        <v>43726</v>
      </c>
      <c r="D51" s="7">
        <v>198</v>
      </c>
      <c r="E51" s="8" t="s">
        <v>55</v>
      </c>
      <c r="F51" s="7" t="s">
        <v>143</v>
      </c>
      <c r="G51" s="10" t="s">
        <v>144</v>
      </c>
      <c r="H51" s="7" t="str">
        <f>"000001"</f>
        <v>000001</v>
      </c>
      <c r="I51" s="6">
        <v>43595</v>
      </c>
      <c r="J51" s="7" t="str">
        <f>"000004"</f>
        <v>000004</v>
      </c>
      <c r="K51" s="6">
        <v>43675</v>
      </c>
      <c r="L51" s="7" t="str">
        <f>"000067"</f>
        <v>000067</v>
      </c>
      <c r="M51" s="6">
        <v>43677</v>
      </c>
      <c r="N51" s="7">
        <v>19</v>
      </c>
      <c r="O51" s="7" t="str">
        <f>"004994"</f>
        <v>004994</v>
      </c>
      <c r="P51" s="6">
        <v>43719</v>
      </c>
      <c r="Q51" s="11">
        <v>46.927999999999997</v>
      </c>
      <c r="R51" s="11">
        <v>2.496</v>
      </c>
      <c r="S51" s="11">
        <v>44.432000000000002</v>
      </c>
      <c r="T51" s="7">
        <v>191</v>
      </c>
      <c r="U51" s="6">
        <v>43726</v>
      </c>
      <c r="V51" s="7">
        <v>8050202444</v>
      </c>
      <c r="W51" s="10" t="s">
        <v>145</v>
      </c>
      <c r="X51" s="7" t="s">
        <v>146</v>
      </c>
      <c r="Y51" s="10" t="s">
        <v>147</v>
      </c>
      <c r="Z51" s="7" t="s">
        <v>148</v>
      </c>
      <c r="AA51" s="10" t="s">
        <v>149</v>
      </c>
      <c r="AB51" s="11">
        <f t="shared" si="1"/>
        <v>0.46927999999999997</v>
      </c>
    </row>
    <row r="52" spans="1:28" x14ac:dyDescent="0.35">
      <c r="A52" s="4">
        <v>6224</v>
      </c>
      <c r="B52" s="5" t="s">
        <v>142</v>
      </c>
      <c r="C52" s="6">
        <v>43735</v>
      </c>
      <c r="D52" s="7">
        <v>198</v>
      </c>
      <c r="E52" s="8" t="s">
        <v>55</v>
      </c>
      <c r="F52" s="7" t="s">
        <v>106</v>
      </c>
      <c r="G52" s="10" t="s">
        <v>107</v>
      </c>
      <c r="H52" s="7" t="str">
        <f>"000536"</f>
        <v>000536</v>
      </c>
      <c r="I52" s="6">
        <v>43486</v>
      </c>
      <c r="J52" s="7" t="str">
        <f>"000012"</f>
        <v>000012</v>
      </c>
      <c r="K52" s="6">
        <v>43593</v>
      </c>
      <c r="L52" s="7" t="str">
        <f>"000069"</f>
        <v>000069</v>
      </c>
      <c r="M52" s="6">
        <v>43627</v>
      </c>
      <c r="N52" s="7">
        <v>19</v>
      </c>
      <c r="O52" s="7" t="str">
        <f>"002870"</f>
        <v>002870</v>
      </c>
      <c r="P52" s="6">
        <v>43636</v>
      </c>
      <c r="Q52" s="11">
        <v>137.18897000000001</v>
      </c>
      <c r="R52" s="11">
        <v>6.5687699999999998</v>
      </c>
      <c r="S52" s="11">
        <v>130.62020000000001</v>
      </c>
      <c r="T52" s="7">
        <v>204</v>
      </c>
      <c r="U52" s="6">
        <v>43735</v>
      </c>
      <c r="V52" s="7">
        <v>9980573052</v>
      </c>
      <c r="W52" s="10" t="s">
        <v>81</v>
      </c>
      <c r="X52" s="7" t="s">
        <v>40</v>
      </c>
      <c r="Y52" s="10" t="s">
        <v>41</v>
      </c>
      <c r="Z52" s="7" t="s">
        <v>50</v>
      </c>
      <c r="AA52" s="10" t="s">
        <v>51</v>
      </c>
      <c r="AB52" s="11">
        <f t="shared" si="1"/>
        <v>1.3718897000000001</v>
      </c>
    </row>
    <row r="53" spans="1:28" x14ac:dyDescent="0.35">
      <c r="A53" s="4">
        <v>6225</v>
      </c>
      <c r="B53" s="5" t="s">
        <v>150</v>
      </c>
      <c r="C53" s="6">
        <v>43752</v>
      </c>
      <c r="D53" s="4">
        <v>198</v>
      </c>
      <c r="E53" s="8" t="s">
        <v>55</v>
      </c>
      <c r="F53" s="7" t="s">
        <v>151</v>
      </c>
      <c r="G53" s="8" t="s">
        <v>152</v>
      </c>
      <c r="H53" s="7" t="str">
        <f>"000191"</f>
        <v>000191</v>
      </c>
      <c r="I53" s="6">
        <v>43291</v>
      </c>
      <c r="J53" s="7" t="str">
        <f>"000084"</f>
        <v>000084</v>
      </c>
      <c r="K53" s="6">
        <v>43719</v>
      </c>
      <c r="L53" s="7" t="str">
        <f>"000137"</f>
        <v>000137</v>
      </c>
      <c r="M53" s="6">
        <v>43725</v>
      </c>
      <c r="N53" s="7">
        <v>18</v>
      </c>
      <c r="O53" s="7" t="str">
        <f>"005668"</f>
        <v>005668</v>
      </c>
      <c r="P53" s="6">
        <v>43748</v>
      </c>
      <c r="Q53" s="9">
        <v>4.8987699999999998</v>
      </c>
      <c r="R53" s="9">
        <v>0.49730000000000002</v>
      </c>
      <c r="S53" s="9">
        <v>4.4014699999999998</v>
      </c>
      <c r="T53" s="7">
        <v>13</v>
      </c>
      <c r="U53" s="6">
        <v>43752</v>
      </c>
      <c r="V53" s="7">
        <v>9845235505</v>
      </c>
      <c r="W53" s="8" t="s">
        <v>49</v>
      </c>
      <c r="X53" s="7" t="s">
        <v>153</v>
      </c>
      <c r="Y53" s="8" t="s">
        <v>154</v>
      </c>
      <c r="Z53" s="7" t="s">
        <v>50</v>
      </c>
      <c r="AA53" s="8" t="s">
        <v>51</v>
      </c>
      <c r="AB53" s="9">
        <v>4.8987699999999995E-2</v>
      </c>
    </row>
    <row r="54" spans="1:28" x14ac:dyDescent="0.35">
      <c r="A54" s="4">
        <v>6226</v>
      </c>
      <c r="B54" s="5" t="s">
        <v>150</v>
      </c>
      <c r="C54" s="6">
        <v>43768</v>
      </c>
      <c r="D54" s="4">
        <v>198</v>
      </c>
      <c r="E54" s="8" t="s">
        <v>55</v>
      </c>
      <c r="F54" s="7" t="s">
        <v>155</v>
      </c>
      <c r="G54" s="8" t="s">
        <v>156</v>
      </c>
      <c r="H54" s="7" t="str">
        <f>"000009"</f>
        <v>000009</v>
      </c>
      <c r="I54" s="6">
        <v>43613</v>
      </c>
      <c r="J54" s="7" t="str">
        <f>"000091"</f>
        <v>000091</v>
      </c>
      <c r="K54" s="6">
        <v>43738</v>
      </c>
      <c r="L54" s="7" t="str">
        <f>"000147"</f>
        <v>000147</v>
      </c>
      <c r="M54" s="6">
        <v>43738</v>
      </c>
      <c r="N54" s="7">
        <v>19</v>
      </c>
      <c r="O54" s="7" t="str">
        <f>"006002"</f>
        <v>006002</v>
      </c>
      <c r="P54" s="6">
        <v>43763</v>
      </c>
      <c r="Q54" s="9">
        <v>98.206609999999998</v>
      </c>
      <c r="R54" s="9">
        <v>9.54636</v>
      </c>
      <c r="S54" s="9">
        <v>88.660250000000005</v>
      </c>
      <c r="T54" s="7">
        <v>13</v>
      </c>
      <c r="U54" s="6">
        <v>43768</v>
      </c>
      <c r="V54" s="7">
        <v>8050202444</v>
      </c>
      <c r="W54" s="8" t="s">
        <v>157</v>
      </c>
      <c r="X54" s="7" t="s">
        <v>42</v>
      </c>
      <c r="Y54" s="8" t="s">
        <v>43</v>
      </c>
      <c r="Z54" s="7" t="s">
        <v>50</v>
      </c>
      <c r="AA54" s="8" t="s">
        <v>51</v>
      </c>
      <c r="AB54" s="9">
        <v>0.98206609999999994</v>
      </c>
    </row>
    <row r="55" spans="1:28" x14ac:dyDescent="0.35">
      <c r="A55" s="4">
        <v>6227</v>
      </c>
      <c r="B55" s="5" t="s">
        <v>158</v>
      </c>
      <c r="C55" s="6">
        <v>43777</v>
      </c>
      <c r="D55" s="4">
        <v>198</v>
      </c>
      <c r="E55" s="8" t="s">
        <v>55</v>
      </c>
      <c r="F55" s="7" t="s">
        <v>63</v>
      </c>
      <c r="G55" s="8" t="s">
        <v>64</v>
      </c>
      <c r="H55" s="7" t="str">
        <f>"000027"</f>
        <v>000027</v>
      </c>
      <c r="I55" s="6">
        <v>42808</v>
      </c>
      <c r="J55" s="7" t="str">
        <f>"000121"</f>
        <v>000121</v>
      </c>
      <c r="K55" s="6">
        <v>43768</v>
      </c>
      <c r="L55" s="7" t="str">
        <f>"000121"</f>
        <v>000121</v>
      </c>
      <c r="M55" s="6">
        <v>43768</v>
      </c>
      <c r="N55" s="7">
        <v>16</v>
      </c>
      <c r="O55" s="7" t="str">
        <f>"006144"</f>
        <v>006144</v>
      </c>
      <c r="P55" s="6">
        <v>43776</v>
      </c>
      <c r="Q55" s="9">
        <v>2.2252200000000002</v>
      </c>
      <c r="R55" s="9">
        <v>0.27822999999999998</v>
      </c>
      <c r="S55" s="9">
        <v>1.94699</v>
      </c>
      <c r="T55" s="7">
        <v>13</v>
      </c>
      <c r="U55" s="6">
        <v>43777</v>
      </c>
      <c r="V55" s="7">
        <v>8861333185</v>
      </c>
      <c r="W55" s="8" t="s">
        <v>62</v>
      </c>
      <c r="X55" s="7" t="s">
        <v>37</v>
      </c>
      <c r="Y55" s="8" t="s">
        <v>36</v>
      </c>
      <c r="Z55" s="7" t="s">
        <v>47</v>
      </c>
      <c r="AA55" s="8" t="s">
        <v>48</v>
      </c>
      <c r="AB55" s="9">
        <v>2.2252200000000003E-2</v>
      </c>
    </row>
    <row r="56" spans="1:28" x14ac:dyDescent="0.35">
      <c r="A56" s="4">
        <v>6228</v>
      </c>
      <c r="B56" s="5" t="s">
        <v>158</v>
      </c>
      <c r="C56" s="6">
        <v>43777</v>
      </c>
      <c r="D56" s="4">
        <v>198</v>
      </c>
      <c r="E56" s="8" t="s">
        <v>55</v>
      </c>
      <c r="F56" s="7" t="s">
        <v>60</v>
      </c>
      <c r="G56" s="8" t="s">
        <v>61</v>
      </c>
      <c r="H56" s="7" t="str">
        <f>"000024"</f>
        <v>000024</v>
      </c>
      <c r="I56" s="6">
        <v>42776</v>
      </c>
      <c r="J56" s="7" t="str">
        <f>"000122"</f>
        <v>000122</v>
      </c>
      <c r="K56" s="6">
        <v>43768</v>
      </c>
      <c r="L56" s="7" t="str">
        <f>"000122"</f>
        <v>000122</v>
      </c>
      <c r="M56" s="6">
        <v>43768</v>
      </c>
      <c r="N56" s="7">
        <v>16</v>
      </c>
      <c r="O56" s="7" t="str">
        <f>"006145"</f>
        <v>006145</v>
      </c>
      <c r="P56" s="6">
        <v>43776</v>
      </c>
      <c r="Q56" s="9">
        <v>2.21502</v>
      </c>
      <c r="R56" s="9">
        <v>0.27714</v>
      </c>
      <c r="S56" s="9">
        <v>1.93788</v>
      </c>
      <c r="T56" s="7">
        <v>13</v>
      </c>
      <c r="U56" s="6">
        <v>43777</v>
      </c>
      <c r="V56" s="7">
        <v>9845937757</v>
      </c>
      <c r="W56" s="8" t="s">
        <v>62</v>
      </c>
      <c r="X56" s="7" t="s">
        <v>37</v>
      </c>
      <c r="Y56" s="8" t="s">
        <v>36</v>
      </c>
      <c r="Z56" s="7" t="s">
        <v>47</v>
      </c>
      <c r="AA56" s="8" t="s">
        <v>48</v>
      </c>
      <c r="AB56" s="9">
        <v>2.2150199999999998E-2</v>
      </c>
    </row>
    <row r="57" spans="1:28" x14ac:dyDescent="0.35">
      <c r="A57" s="4">
        <v>6229</v>
      </c>
      <c r="B57" s="5" t="s">
        <v>159</v>
      </c>
      <c r="C57" s="6">
        <v>43805</v>
      </c>
      <c r="D57" s="4">
        <v>198</v>
      </c>
      <c r="E57" s="8" t="s">
        <v>55</v>
      </c>
      <c r="F57" s="7" t="s">
        <v>160</v>
      </c>
      <c r="G57" s="8" t="s">
        <v>161</v>
      </c>
      <c r="H57" s="7" t="str">
        <f>"000086"</f>
        <v>000086</v>
      </c>
      <c r="I57" s="6">
        <v>40219</v>
      </c>
      <c r="J57" s="7" t="str">
        <f>"000096"</f>
        <v>000096</v>
      </c>
      <c r="K57" s="6">
        <v>43151</v>
      </c>
      <c r="L57" s="7" t="str">
        <f>"000038"</f>
        <v>000038</v>
      </c>
      <c r="M57" s="6">
        <v>43151</v>
      </c>
      <c r="N57" s="7">
        <v>13</v>
      </c>
      <c r="O57" s="7" t="str">
        <f>"006541"</f>
        <v>006541</v>
      </c>
      <c r="P57" s="6">
        <v>43802</v>
      </c>
      <c r="Q57" s="9">
        <v>19.643899999999999</v>
      </c>
      <c r="R57" s="9">
        <v>2.31976</v>
      </c>
      <c r="S57" s="9">
        <v>17.32414</v>
      </c>
      <c r="T57" s="7">
        <v>13</v>
      </c>
      <c r="U57" s="6">
        <v>43805</v>
      </c>
      <c r="V57" s="7">
        <v>8904904737</v>
      </c>
      <c r="W57" s="8" t="s">
        <v>162</v>
      </c>
      <c r="X57" s="7" t="s">
        <v>163</v>
      </c>
      <c r="Y57" s="8" t="s">
        <v>164</v>
      </c>
      <c r="Z57" s="7" t="s">
        <v>165</v>
      </c>
      <c r="AA57" s="8" t="s">
        <v>166</v>
      </c>
      <c r="AB57" s="9">
        <v>0.19643899999999997</v>
      </c>
    </row>
    <row r="58" spans="1:28" x14ac:dyDescent="0.35">
      <c r="A58" s="4">
        <v>6230</v>
      </c>
      <c r="B58" s="5" t="s">
        <v>159</v>
      </c>
      <c r="C58" s="6">
        <v>43809</v>
      </c>
      <c r="D58" s="4">
        <v>198</v>
      </c>
      <c r="E58" s="8" t="s">
        <v>55</v>
      </c>
      <c r="F58" s="7" t="s">
        <v>167</v>
      </c>
      <c r="G58" s="8" t="s">
        <v>168</v>
      </c>
      <c r="H58" s="7" t="str">
        <f>"000058"</f>
        <v>000058</v>
      </c>
      <c r="I58" s="6">
        <v>43191</v>
      </c>
      <c r="J58" s="7" t="str">
        <f>"000067"</f>
        <v>000067</v>
      </c>
      <c r="K58" s="6">
        <v>43372</v>
      </c>
      <c r="L58" s="7" t="str">
        <f>"000067"</f>
        <v>000067</v>
      </c>
      <c r="M58" s="6">
        <v>43372</v>
      </c>
      <c r="N58" s="7">
        <v>18</v>
      </c>
      <c r="O58" s="7" t="str">
        <f>"006664"</f>
        <v>006664</v>
      </c>
      <c r="P58" s="6">
        <v>43805</v>
      </c>
      <c r="Q58" s="9">
        <v>3.5788600000000002</v>
      </c>
      <c r="R58" s="9">
        <v>0.32390000000000002</v>
      </c>
      <c r="S58" s="9">
        <v>3.2549600000000001</v>
      </c>
      <c r="T58" s="7">
        <v>13</v>
      </c>
      <c r="U58" s="6">
        <v>43809</v>
      </c>
      <c r="V58" s="7">
        <v>8904904737</v>
      </c>
      <c r="W58" s="8" t="s">
        <v>162</v>
      </c>
      <c r="X58" s="7" t="s">
        <v>169</v>
      </c>
      <c r="Y58" s="8" t="s">
        <v>170</v>
      </c>
      <c r="Z58" s="7" t="s">
        <v>165</v>
      </c>
      <c r="AA58" s="8" t="s">
        <v>166</v>
      </c>
      <c r="AB58" s="9">
        <v>3.5788600000000004E-2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2020-01-30T07:09:33Z</dcterms:modified>
</cp:coreProperties>
</file>