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9" i="1" l="1"/>
  <c r="L49" i="1"/>
  <c r="J49" i="1"/>
  <c r="H49" i="1"/>
  <c r="O48" i="1"/>
  <c r="L48" i="1"/>
  <c r="J48" i="1"/>
  <c r="H48" i="1"/>
  <c r="O47" i="1"/>
  <c r="L47" i="1"/>
  <c r="J47" i="1"/>
  <c r="H47" i="1"/>
  <c r="O46" i="1"/>
  <c r="L46" i="1"/>
  <c r="J46" i="1"/>
  <c r="H46" i="1"/>
  <c r="O45" i="1"/>
  <c r="L45" i="1"/>
  <c r="J45" i="1"/>
  <c r="H45" i="1"/>
  <c r="AB44" i="1"/>
  <c r="O44" i="1"/>
  <c r="L44" i="1"/>
  <c r="J44" i="1"/>
  <c r="H44" i="1"/>
  <c r="AB43" i="1"/>
  <c r="O43" i="1"/>
  <c r="L43" i="1"/>
  <c r="J43" i="1"/>
  <c r="H43" i="1"/>
  <c r="AB42" i="1"/>
  <c r="O42" i="1"/>
  <c r="L42" i="1"/>
  <c r="J42" i="1"/>
  <c r="H42" i="1"/>
  <c r="AB41" i="1"/>
  <c r="O41" i="1"/>
  <c r="L41" i="1"/>
  <c r="J41" i="1"/>
  <c r="H41" i="1"/>
  <c r="AB40" i="1"/>
  <c r="O40" i="1"/>
  <c r="L40" i="1"/>
  <c r="J40" i="1"/>
  <c r="H40" i="1"/>
  <c r="AB39" i="1"/>
  <c r="O39" i="1"/>
  <c r="L39" i="1"/>
  <c r="J39" i="1"/>
  <c r="H39" i="1"/>
  <c r="AB38" i="1"/>
  <c r="O38" i="1"/>
  <c r="L38" i="1"/>
  <c r="J38" i="1"/>
  <c r="H38" i="1"/>
  <c r="AB37" i="1"/>
  <c r="O37" i="1"/>
  <c r="L37" i="1"/>
  <c r="J37" i="1"/>
  <c r="H37" i="1"/>
  <c r="AB36" i="1"/>
  <c r="O36" i="1"/>
  <c r="L36" i="1"/>
  <c r="J36" i="1"/>
  <c r="H36" i="1"/>
  <c r="AB35"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AB29" i="1"/>
  <c r="O29" i="1"/>
  <c r="L29" i="1"/>
  <c r="J29" i="1"/>
  <c r="H29" i="1"/>
  <c r="AB28" i="1"/>
  <c r="O28" i="1"/>
  <c r="L28" i="1"/>
  <c r="J28" i="1"/>
  <c r="H28" i="1"/>
  <c r="AB27" i="1"/>
  <c r="O27" i="1"/>
  <c r="L27" i="1"/>
  <c r="J27" i="1"/>
  <c r="H27" i="1"/>
  <c r="O26" i="1"/>
  <c r="L26" i="1"/>
  <c r="J26" i="1"/>
  <c r="H26" i="1"/>
  <c r="O25" i="1"/>
  <c r="L25" i="1"/>
  <c r="J25" i="1"/>
  <c r="H25" i="1"/>
  <c r="O24" i="1"/>
  <c r="L24" i="1"/>
  <c r="J24" i="1"/>
  <c r="H24" i="1"/>
  <c r="O23" i="1"/>
  <c r="L23" i="1"/>
  <c r="J23" i="1"/>
  <c r="H23" i="1"/>
  <c r="O22" i="1"/>
  <c r="L22" i="1"/>
  <c r="J22" i="1"/>
  <c r="H22" i="1"/>
  <c r="O21" i="1"/>
  <c r="L21" i="1"/>
  <c r="J21" i="1"/>
  <c r="H21" i="1"/>
  <c r="O20" i="1"/>
  <c r="L20" i="1"/>
  <c r="J20" i="1"/>
  <c r="H20" i="1"/>
  <c r="O19" i="1"/>
  <c r="L19" i="1"/>
  <c r="J19" i="1"/>
  <c r="H19"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<sst xmlns="http://schemas.openxmlformats.org/spreadsheetml/2006/main" count="460" uniqueCount="189">
  <si>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</si>
  <si>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</si>
  <si>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</si>
  <si>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</si>
  <si>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</si>
  <si>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</si>
  <si>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</si>
  <si>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</si>
  <si>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</si>
  <si>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</si>
  <si>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</si>
  <si>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</si>
  <si>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</si>
  <si>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</si>
  <si>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</si>
  <si>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</si>
  <si>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</si>
  <si>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</si>
  <si>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</si>
  <si>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</si>
  <si>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</si>
  <si>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</si>
  <si>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</si>
  <si>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</si>
  <si>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</si>
  <si>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</si>
  <si>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</si>
  <si>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</si>
  <si>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</si>
  <si>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P1802</t>
  </si>
  <si>
    <t>Water Supply New Areas</t>
  </si>
  <si>
    <t>ddo227</t>
  </si>
  <si>
    <t xml:space="preserve"> Assistant Executive Engineer Maruthinagara Yelhanka Zone</t>
  </si>
  <si>
    <t>P0300</t>
  </si>
  <si>
    <t>M and R to Street Lights - Replacement of Burnt Bulbs etc. (Package)</t>
  </si>
  <si>
    <t>ddo617</t>
  </si>
  <si>
    <t xml:space="preserve"> Executive Engineer Electrical Yelhanka Zone</t>
  </si>
  <si>
    <t>June</t>
  </si>
  <si>
    <t>P1771</t>
  </si>
  <si>
    <t>Zone Works - POW Works</t>
  </si>
  <si>
    <t>May</t>
  </si>
  <si>
    <t>P2415</t>
  </si>
  <si>
    <t>Reserve fund for TandF Committee</t>
  </si>
  <si>
    <t>Technical Manager (West) KRIDL, Bangaluru</t>
  </si>
  <si>
    <t>Construction of RCC drain and providing RCC covering to Existing SWD at Kondappa layout 25th cross road in ward no 02 of Yelahanka Sub division</t>
  </si>
  <si>
    <t>002-16-000035</t>
  </si>
  <si>
    <t>Chowdeswari Ward</t>
  </si>
  <si>
    <t>Construction of RCC drain at Sai baba temple in Kondappa layout in ward no 02 of Yelahanka Sub division</t>
  </si>
  <si>
    <t>002-16-000033</t>
  </si>
  <si>
    <t>M/s Kiran Electrical Enterprises</t>
  </si>
  <si>
    <t>Operation and maintenance of Street lights in Chowdeshwari Ward W No 2 Package Y 2</t>
  </si>
  <si>
    <t>002-16-000001</t>
  </si>
  <si>
    <t>Sivakumaraa.N</t>
  </si>
  <si>
    <t>Improvements of roads and drains at Harohalli village in ward No 02 of yelahanka sub division</t>
  </si>
  <si>
    <t>002-17-000037</t>
  </si>
  <si>
    <t>Improvements to cc roads in edga maidana in ward no 02 yelahanka sub division</t>
  </si>
  <si>
    <t>002-17-000038</t>
  </si>
  <si>
    <t>Channakrishana.P</t>
  </si>
  <si>
    <t>Improvements to roads and drains at Chowdeshwari layout in ward no 02 yelahanka sub division</t>
  </si>
  <si>
    <t>002-17-000040</t>
  </si>
  <si>
    <t xml:space="preserve"> Executive Engineer 5 - Projects 2 Central Zone</t>
  </si>
  <si>
    <t>ddo615</t>
  </si>
  <si>
    <t>Improvements of Lakes under GoK Grants</t>
  </si>
  <si>
    <t>P2741</t>
  </si>
  <si>
    <t>Parichitha Constructions, pro. Srinivas murthy</t>
  </si>
  <si>
    <t>Improvements to  Harohalli Lake ward no 2</t>
  </si>
  <si>
    <t>308-18-000012</t>
  </si>
  <si>
    <t>18per - Works (Bhagyajyothi, Sooru / Neeru Yojane and General) (54 Lakhs / New Wards)</t>
  </si>
  <si>
    <t>P1878</t>
  </si>
  <si>
    <t>Sridhar.Y.R</t>
  </si>
  <si>
    <t>Improvements to roads and Drians at Nagenahalli Janatha Colony in ward No 2 of Yelahanka Sub division</t>
  </si>
  <si>
    <t>002-18-000040</t>
  </si>
  <si>
    <t>Improvements to roads and drains at Harohalli colony in ward No 02 of Yelahanka sub division</t>
  </si>
  <si>
    <t>002-18-000039</t>
  </si>
  <si>
    <t>Special Development works in ward No.177,78,97, 57,99,100,68,11,126,168, 113,02, 181,03, 21,33,23,24,27 ,59,53,57,81,47, 45,72, 50,91,92,117,145,146,147,148,151,152, 122,134, 157, 84,85,150,163, 179,180, 170, 171, 175,176, 173,174, 186,189, 190,193,185,191,194, 195,196, 127, (Rs.200 lakhs each ward)</t>
  </si>
  <si>
    <t>P3172</t>
  </si>
  <si>
    <t>Technical Manager (West) KRIDL , BBMP</t>
  </si>
  <si>
    <t>Improvements to roads and drains at Kamakshamma layout Eastern side cross roads in ward no 02 Yelahanka Sub Division</t>
  </si>
  <si>
    <t>002-17-000007</t>
  </si>
  <si>
    <t>Technical Manager (West) KRIDL , BBM, Bangalore</t>
  </si>
  <si>
    <t>Improvements of footpath and providing missing covering slabs at yelahanka new town 5th phase in ward no 02 Yelahanka Sub Division</t>
  </si>
  <si>
    <t>002-17-000008</t>
  </si>
  <si>
    <t>Improvements to roads and drains at Kondappa layout Eastern side  cross roads in ward no 02 Yelahanka Sub Division</t>
  </si>
  <si>
    <t>002-17-000009</t>
  </si>
  <si>
    <t>Improvements to roads and drains at Kamakshamma layout western side cross roads in ward no 02 Yelahanka Sub Division</t>
  </si>
  <si>
    <t>002-17-000006</t>
  </si>
  <si>
    <t>N.Shivakumar</t>
  </si>
  <si>
    <t>Improvements of roads and drains at Nagenahalli village in ward No 02 of yelahanka sub division</t>
  </si>
  <si>
    <t>002-17-000035</t>
  </si>
  <si>
    <t>IMPROVEMENTS OF ROADS AND DRAINS IN CHOWDESHWARI LAYOUT AD COLONY AND SURROUNDING AREAS IN WARD NO 02 OF YELAHANKA SUB DIVISION</t>
  </si>
  <si>
    <t>002-19-000010</t>
  </si>
  <si>
    <t>Construction of Samudaya Bhavana near Manavarthi thota at pump house in ward No 2</t>
  </si>
  <si>
    <t>002-15-000038</t>
  </si>
  <si>
    <t xml:space="preserve"> AV Gurumurthy Prof of M/s Kiran  Electrical Entarprises</t>
  </si>
  <si>
    <t xml:space="preserve">Sri.G.Muniraju, (KBS Engineering Works) </t>
  </si>
  <si>
    <t>Providing and supplying water through water tanker in village limit areas in ward No- 02 of yelahanka Sub division</t>
  </si>
  <si>
    <t>002-17-000046</t>
  </si>
  <si>
    <t xml:space="preserve">Sri.G.Muniraju, (KBS Engineering Works) . </t>
  </si>
  <si>
    <t>Providing and supplying water through water tanker in yelahanka old town areas in ward No 02 of yelahanka Sub division</t>
  </si>
  <si>
    <t>002-17-000047</t>
  </si>
  <si>
    <t>Maintenance of Existing borewells at yelahanka old town areas in ward No 02 of yelahanka Sub division</t>
  </si>
  <si>
    <t>002-17-000045</t>
  </si>
  <si>
    <t xml:space="preserve">G.Muniraju, (KBS Engineering Works) </t>
  </si>
  <si>
    <t>Maintenance of Existing borewells at village limit areas in ward No 02 of yelahanka Sub division</t>
  </si>
  <si>
    <t>002-17-000044</t>
  </si>
  <si>
    <t>Adhinarayanareddy (Adi Electricals)</t>
  </si>
  <si>
    <t>Maintenance of BBMP office in ward No 02 of yelahanka Sub division</t>
  </si>
  <si>
    <t>002-16-000004</t>
  </si>
  <si>
    <t>14th Finance Commission Works - UGD Works</t>
  </si>
  <si>
    <t>P3295</t>
  </si>
  <si>
    <t xml:space="preserve">R.Ranganath, </t>
  </si>
  <si>
    <t>Providing UGD work system in ward no 02 of Yelahanka Sub Division</t>
  </si>
  <si>
    <t>002-19-000006</t>
  </si>
  <si>
    <t>September</t>
  </si>
  <si>
    <t>14th Finance Commission Works - SWM Works</t>
  </si>
  <si>
    <t>P3298</t>
  </si>
  <si>
    <t>G Venkategowda</t>
  </si>
  <si>
    <t>Construction of Compound wall and other works to DWCC in ward no 02 of Yelahanka Sub Division</t>
  </si>
  <si>
    <t>002-19-000009</t>
  </si>
  <si>
    <t>Works sanctioned by Hon Mayor</t>
  </si>
  <si>
    <t>P0190</t>
  </si>
  <si>
    <t>Shadayan,</t>
  </si>
  <si>
    <t>Drilling of borewell and providing pipe line in Yelahanka old town area and village area in ward no 02</t>
  </si>
  <si>
    <t>002-18-000014</t>
  </si>
  <si>
    <t>August</t>
  </si>
  <si>
    <t>Shadayan</t>
  </si>
  <si>
    <t>Drilling of borewell and providing pipe line in Yelahanka old town areas in ward no 02 of Yelahanka Sub Division</t>
  </si>
  <si>
    <t>002-18-000013</t>
  </si>
  <si>
    <t>G.Muniraju (KBS Engineering Works)</t>
  </si>
  <si>
    <t>Providing Temporary Immersion Tank for lord Ganesh Idols at near Yelahanka lake in ward No 1 of Yelahanka Sub Division</t>
  </si>
  <si>
    <t>002-17-000042</t>
  </si>
  <si>
    <t>July</t>
  </si>
  <si>
    <t>G.Muniraju,(KBS Engineering Works)</t>
  </si>
  <si>
    <t>Provide Grant in Aid to National Festivals in ward No 01 of Yelahanka Sub Division</t>
  </si>
  <si>
    <t>002-17-000041</t>
  </si>
  <si>
    <t>G.Kishore Naidu</t>
  </si>
  <si>
    <t>Improvements to roads and drains to J P Colony Main Road in ward no 02 yelahanka sub division</t>
  </si>
  <si>
    <t>002-17-000039</t>
  </si>
  <si>
    <t xml:space="preserve">G.Kishore Naidu </t>
  </si>
  <si>
    <t>Construction of Culverts and providing missing slabs in yelahanka in ward No 02 of yelahanka Sub Division</t>
  </si>
  <si>
    <t>002-17-000033</t>
  </si>
  <si>
    <t>14th Finance Commission Works - Road and Footpath Maintenance</t>
  </si>
  <si>
    <t>P3296</t>
  </si>
  <si>
    <t xml:space="preserve">N.Rajanna , </t>
  </si>
  <si>
    <t>Improvements Roads and footpath in ward no 02 of Yelahanka Sub Division</t>
  </si>
  <si>
    <t>002-19-000007</t>
  </si>
  <si>
    <t>14th Finance Commission Works - Community Property Maintenance (including Parks)</t>
  </si>
  <si>
    <t>P3292</t>
  </si>
  <si>
    <t xml:space="preserve">SAGAR.S, </t>
  </si>
  <si>
    <t>Providing Community property Maintenance in ward no 02 of Yelahanka Sub Division</t>
  </si>
  <si>
    <t>002-19-000003</t>
  </si>
  <si>
    <t>Redoing of Road cut Portions (Deposit Contributions)</t>
  </si>
  <si>
    <t>P0613</t>
  </si>
  <si>
    <t>R.Satheesh (Sathya Constructions)</t>
  </si>
  <si>
    <t>Restoration of road cut portion done by BWSSB at Kenchenahalli Sainagara ISRO Layout in ward no 2 Chowdeshwari</t>
  </si>
  <si>
    <t>002-19-000073</t>
  </si>
  <si>
    <t>14th Fin -Maintenance of Cremotorium, Burial Grounds</t>
  </si>
  <si>
    <t>P3291</t>
  </si>
  <si>
    <t>Providing grill to BBMP Division office in ward no 02 of Yelahanka Sub Division</t>
  </si>
  <si>
    <t>002-19-000002</t>
  </si>
  <si>
    <t>Special Development works in ward No.119, 124, 131, 133, 157, 171, 177, 181, 192, 184, 185, 194, 155, 105, 90, 91, 92, 98, 09, 11, 02, 65 (Rs.100 lakhs per ward)</t>
  </si>
  <si>
    <t>P3167</t>
  </si>
  <si>
    <t>Technical Manager (West) KRIDL , BBMP, Bangalore</t>
  </si>
  <si>
    <t>Construction of Compound wall and other civil works at Kenchenahalli Govt School in ward no 02 of yelahanka Sub Division</t>
  </si>
  <si>
    <t>002-17-000005</t>
  </si>
  <si>
    <t>Improvements to roads and drains at Surya Vamshi layout and surrounding areas in ward no 02 of yelahanka Sub Division</t>
  </si>
  <si>
    <t>002-17-000004</t>
  </si>
  <si>
    <t>Construction of drain and culverts at yelahanka new town 5th phase in ward no 02 of yelahanka Sub Division</t>
  </si>
  <si>
    <t>002-17-000002</t>
  </si>
  <si>
    <t>Technical Manager (West) KRIDL , BBMP Bangalore</t>
  </si>
  <si>
    <t>Construction of RCC drain from Masidi circle to Eswarappa house in ward no 02 of yelahanka Sub Division</t>
  </si>
  <si>
    <t>002-17-000003</t>
  </si>
  <si>
    <t>October</t>
  </si>
  <si>
    <t>002-19-000001</t>
  </si>
  <si>
    <t>Providing street lights in ward no 02 of Yelahanka Sub Division</t>
  </si>
  <si>
    <t xml:space="preserve">S.SOMASHEKAR, </t>
  </si>
  <si>
    <t>P3290</t>
  </si>
  <si>
    <t>14th Finance Commission Works - Providing Street Lights and Maintenance</t>
  </si>
  <si>
    <t>November</t>
  </si>
  <si>
    <t>002-19-000053</t>
  </si>
  <si>
    <t>Consultancy Services for Preparation of Survey, Designs, Drawing, Estimate preparation etc., Detailed project Report (D.P.R) for the work of Construction of CC drain and development work in ward No:02 (Package-02)</t>
  </si>
  <si>
    <t xml:space="preserve">M/s. Silicon consulting Engineers, Prop. Krian.R </t>
  </si>
  <si>
    <t>P3158</t>
  </si>
  <si>
    <t>SIP Infrastructure Project works</t>
  </si>
  <si>
    <t>December</t>
  </si>
  <si>
    <t>002-17-000011</t>
  </si>
  <si>
    <t>Improvements to roads and drains at balance main and cross roads Manavarthi thota Chowdeshwari layout areas in ward no 02 Yelahanka Sub Division</t>
  </si>
  <si>
    <t>002-17-000010</t>
  </si>
  <si>
    <t>Improvements to roads and drains at balance main and cross roads at yelahanka old town areas in ward no 02 Yelahanka Sub Division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</si>
</sst>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9"/>
  <sheetViews>
    <sheetView tabSelected="1" workbookViewId="0">
      <selection activeCell="D10" sqref="D10"/>
    </sheetView>
  </sheetViews>
  <sheetFormatPr defaultRowHeight="14.5" x14ac:dyDescent="0.35"/>
  <cols>
    <col min="1" max="1" width="5" bestFit="1" customWidth="1"/>
    <col min="2" max="2" width="6.26953125" bestFit="1" customWidth="1"/>
    <col min="3" max="3" width="9.54296875" bestFit="1" customWidth="1"/>
    <col min="4" max="4" width="8.089843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46</v>
      </c>
      <c r="B2" s="6" t="s">
        <v>28</v>
      </c>
      <c r="C2" s="7">
        <v>43566</v>
      </c>
      <c r="D2" s="8">
        <v>2</v>
      </c>
      <c r="E2" s="9" t="s">
        <v>46</v>
      </c>
      <c r="F2" s="8" t="s">
        <v>107</v>
      </c>
      <c r="G2" s="9" t="s">
        <v>106</v>
      </c>
      <c r="H2" s="8" t="str">
        <f>"000108"</f>
        <v>000108</v>
      </c>
      <c r="I2" s="7">
        <v>43138</v>
      </c>
      <c r="J2" s="8" t="str">
        <f>"000056"</f>
        <v>000056</v>
      </c>
      <c r="K2" s="7">
        <v>43143</v>
      </c>
      <c r="L2" s="8" t="str">
        <f>"000077"</f>
        <v>000077</v>
      </c>
      <c r="M2" s="7">
        <v>43145</v>
      </c>
      <c r="N2" s="8">
        <v>16</v>
      </c>
      <c r="O2" s="8" t="str">
        <f>"000243"</f>
        <v>000243</v>
      </c>
      <c r="P2" s="7">
        <v>43564</v>
      </c>
      <c r="Q2" s="10">
        <v>6.6939599999999997</v>
      </c>
      <c r="R2" s="10">
        <v>0.60916000000000003</v>
      </c>
      <c r="S2" s="10">
        <v>6.0848000000000004</v>
      </c>
      <c r="T2" s="8">
        <v>11</v>
      </c>
      <c r="U2" s="7">
        <v>43566</v>
      </c>
      <c r="V2" s="8">
        <v>9449217522</v>
      </c>
      <c r="W2" s="9" t="s">
        <v>105</v>
      </c>
      <c r="X2" s="8" t="s">
        <v>38</v>
      </c>
      <c r="Y2" s="9" t="s">
        <v>39</v>
      </c>
      <c r="Z2" s="8" t="s">
        <v>31</v>
      </c>
      <c r="AA2" s="9" t="s">
        <v>32</v>
      </c>
      <c r="AB2" s="10">
        <f t="shared" ref="AB2:AB17" si="0">Q2/100</f>
        <v>6.6939600000000002E-2</v>
      </c>
    </row>
    <row r="3" spans="1:28" s="4" customFormat="1" ht="13" x14ac:dyDescent="0.3">
      <c r="A3" s="5">
        <v>47</v>
      </c>
      <c r="B3" s="6" t="s">
        <v>28</v>
      </c>
      <c r="C3" s="7">
        <v>43566</v>
      </c>
      <c r="D3" s="8">
        <v>2</v>
      </c>
      <c r="E3" s="9" t="s">
        <v>46</v>
      </c>
      <c r="F3" s="8" t="s">
        <v>104</v>
      </c>
      <c r="G3" s="9" t="s">
        <v>103</v>
      </c>
      <c r="H3" s="8" t="str">
        <f>"000092"</f>
        <v>000092</v>
      </c>
      <c r="I3" s="7">
        <v>43098</v>
      </c>
      <c r="J3" s="8" t="str">
        <f>"000019"</f>
        <v>000019</v>
      </c>
      <c r="K3" s="7">
        <v>43278</v>
      </c>
      <c r="L3" s="8" t="str">
        <f>"000027"</f>
        <v>000027</v>
      </c>
      <c r="M3" s="7">
        <v>43286</v>
      </c>
      <c r="N3" s="8">
        <v>17</v>
      </c>
      <c r="O3" s="8" t="str">
        <f>""</f>
        <v/>
      </c>
      <c r="P3" s="7"/>
      <c r="Q3" s="10">
        <v>4.9165299999999998</v>
      </c>
      <c r="R3" s="10">
        <v>0.2016</v>
      </c>
      <c r="S3" s="10">
        <v>4.7149299999999998</v>
      </c>
      <c r="T3" s="8">
        <v>11</v>
      </c>
      <c r="U3" s="7">
        <v>43566</v>
      </c>
      <c r="V3" s="8">
        <v>9591979507</v>
      </c>
      <c r="W3" s="9" t="s">
        <v>102</v>
      </c>
      <c r="X3" s="8" t="s">
        <v>29</v>
      </c>
      <c r="Y3" s="9" t="s">
        <v>30</v>
      </c>
      <c r="Z3" s="8" t="s">
        <v>31</v>
      </c>
      <c r="AA3" s="9" t="s">
        <v>32</v>
      </c>
      <c r="AB3" s="10">
        <f t="shared" si="0"/>
        <v>4.9165299999999995E-2</v>
      </c>
    </row>
    <row r="4" spans="1:28" s="4" customFormat="1" ht="13" x14ac:dyDescent="0.3">
      <c r="A4" s="5">
        <v>48</v>
      </c>
      <c r="B4" s="6" t="s">
        <v>28</v>
      </c>
      <c r="C4" s="7">
        <v>43566</v>
      </c>
      <c r="D4" s="8">
        <v>2</v>
      </c>
      <c r="E4" s="9" t="s">
        <v>46</v>
      </c>
      <c r="F4" s="8" t="s">
        <v>101</v>
      </c>
      <c r="G4" s="9" t="s">
        <v>100</v>
      </c>
      <c r="H4" s="8" t="str">
        <f>"000088"</f>
        <v>000088</v>
      </c>
      <c r="I4" s="7">
        <v>43095</v>
      </c>
      <c r="J4" s="8" t="str">
        <f>"000045"</f>
        <v>000045</v>
      </c>
      <c r="K4" s="7">
        <v>43129</v>
      </c>
      <c r="L4" s="8" t="str">
        <f>"000088"</f>
        <v>000088</v>
      </c>
      <c r="M4" s="7">
        <v>43153</v>
      </c>
      <c r="N4" s="8">
        <v>17</v>
      </c>
      <c r="O4" s="8" t="str">
        <f>"000246"</f>
        <v>000246</v>
      </c>
      <c r="P4" s="7">
        <v>43564</v>
      </c>
      <c r="Q4" s="10">
        <v>2.0931899999999999</v>
      </c>
      <c r="R4" s="10">
        <v>8.5809999999999997E-2</v>
      </c>
      <c r="S4" s="10">
        <v>2.0073799999999999</v>
      </c>
      <c r="T4" s="8">
        <v>11</v>
      </c>
      <c r="U4" s="7">
        <v>43566</v>
      </c>
      <c r="V4" s="8">
        <v>9591979507</v>
      </c>
      <c r="W4" s="9" t="s">
        <v>94</v>
      </c>
      <c r="X4" s="8" t="s">
        <v>29</v>
      </c>
      <c r="Y4" s="9" t="s">
        <v>30</v>
      </c>
      <c r="Z4" s="8" t="s">
        <v>31</v>
      </c>
      <c r="AA4" s="9" t="s">
        <v>32</v>
      </c>
      <c r="AB4" s="10">
        <f t="shared" si="0"/>
        <v>2.09319E-2</v>
      </c>
    </row>
    <row r="5" spans="1:28" s="4" customFormat="1" ht="13" x14ac:dyDescent="0.3">
      <c r="A5" s="5">
        <v>49</v>
      </c>
      <c r="B5" s="6" t="s">
        <v>28</v>
      </c>
      <c r="C5" s="7">
        <v>43566</v>
      </c>
      <c r="D5" s="8">
        <v>2</v>
      </c>
      <c r="E5" s="9" t="s">
        <v>46</v>
      </c>
      <c r="F5" s="8" t="s">
        <v>99</v>
      </c>
      <c r="G5" s="9" t="s">
        <v>98</v>
      </c>
      <c r="H5" s="8" t="str">
        <f>"000089"</f>
        <v>000089</v>
      </c>
      <c r="I5" s="7">
        <v>43095</v>
      </c>
      <c r="J5" s="8" t="str">
        <f>"000044"</f>
        <v>000044</v>
      </c>
      <c r="K5" s="7">
        <v>43129</v>
      </c>
      <c r="L5" s="8" t="str">
        <f>"000094"</f>
        <v>000094</v>
      </c>
      <c r="M5" s="7">
        <v>43172</v>
      </c>
      <c r="N5" s="8">
        <v>17</v>
      </c>
      <c r="O5" s="8" t="str">
        <f>"000247"</f>
        <v>000247</v>
      </c>
      <c r="P5" s="7">
        <v>43564</v>
      </c>
      <c r="Q5" s="10">
        <v>4.9524900000000001</v>
      </c>
      <c r="R5" s="10">
        <v>0.20302999999999999</v>
      </c>
      <c r="S5" s="10">
        <v>4.74946</v>
      </c>
      <c r="T5" s="8">
        <v>11</v>
      </c>
      <c r="U5" s="7">
        <v>43566</v>
      </c>
      <c r="V5" s="8">
        <v>9591979507</v>
      </c>
      <c r="W5" s="9" t="s">
        <v>97</v>
      </c>
      <c r="X5" s="8" t="s">
        <v>29</v>
      </c>
      <c r="Y5" s="9" t="s">
        <v>30</v>
      </c>
      <c r="Z5" s="8" t="s">
        <v>31</v>
      </c>
      <c r="AA5" s="9" t="s">
        <v>32</v>
      </c>
      <c r="AB5" s="10">
        <f t="shared" si="0"/>
        <v>4.9524900000000004E-2</v>
      </c>
    </row>
    <row r="6" spans="1:28" s="4" customFormat="1" ht="13" x14ac:dyDescent="0.3">
      <c r="A6" s="5">
        <v>50</v>
      </c>
      <c r="B6" s="6" t="s">
        <v>28</v>
      </c>
      <c r="C6" s="7">
        <v>43566</v>
      </c>
      <c r="D6" s="8">
        <v>2</v>
      </c>
      <c r="E6" s="9" t="s">
        <v>46</v>
      </c>
      <c r="F6" s="8" t="s">
        <v>96</v>
      </c>
      <c r="G6" s="9" t="s">
        <v>95</v>
      </c>
      <c r="H6" s="8" t="str">
        <f>"000087"</f>
        <v>000087</v>
      </c>
      <c r="I6" s="7">
        <v>43095</v>
      </c>
      <c r="J6" s="8" t="str">
        <f>"000043"</f>
        <v>000043</v>
      </c>
      <c r="K6" s="7">
        <v>43129</v>
      </c>
      <c r="L6" s="8" t="str">
        <f>"000095"</f>
        <v>000095</v>
      </c>
      <c r="M6" s="7">
        <v>43172</v>
      </c>
      <c r="N6" s="8">
        <v>17</v>
      </c>
      <c r="O6" s="8" t="str">
        <f>"000249"</f>
        <v>000249</v>
      </c>
      <c r="P6" s="7">
        <v>43564</v>
      </c>
      <c r="Q6" s="10">
        <v>4.9621599999999999</v>
      </c>
      <c r="R6" s="10">
        <v>0.20344000000000001</v>
      </c>
      <c r="S6" s="10">
        <v>4.7587200000000003</v>
      </c>
      <c r="T6" s="8">
        <v>11</v>
      </c>
      <c r="U6" s="7">
        <v>43566</v>
      </c>
      <c r="V6" s="8">
        <v>9591979507</v>
      </c>
      <c r="W6" s="9" t="s">
        <v>94</v>
      </c>
      <c r="X6" s="8" t="s">
        <v>29</v>
      </c>
      <c r="Y6" s="9" t="s">
        <v>30</v>
      </c>
      <c r="Z6" s="8" t="s">
        <v>31</v>
      </c>
      <c r="AA6" s="9" t="s">
        <v>32</v>
      </c>
      <c r="AB6" s="10">
        <f t="shared" si="0"/>
        <v>4.9621600000000002E-2</v>
      </c>
    </row>
    <row r="7" spans="1:28" s="4" customFormat="1" ht="13" x14ac:dyDescent="0.3">
      <c r="A7" s="5">
        <v>51</v>
      </c>
      <c r="B7" s="6" t="s">
        <v>28</v>
      </c>
      <c r="C7" s="7">
        <v>43567</v>
      </c>
      <c r="D7" s="8">
        <v>2</v>
      </c>
      <c r="E7" s="9" t="s">
        <v>46</v>
      </c>
      <c r="F7" s="8" t="s">
        <v>51</v>
      </c>
      <c r="G7" s="9" t="s">
        <v>50</v>
      </c>
      <c r="H7" s="8" t="str">
        <f>"000032"</f>
        <v>000032</v>
      </c>
      <c r="I7" s="7">
        <v>42772</v>
      </c>
      <c r="J7" s="8" t="str">
        <f>"000024"</f>
        <v>000024</v>
      </c>
      <c r="K7" s="7">
        <v>42867</v>
      </c>
      <c r="L7" s="8" t="str">
        <f>"000024"</f>
        <v>000024</v>
      </c>
      <c r="M7" s="7">
        <v>42867</v>
      </c>
      <c r="N7" s="8">
        <v>16</v>
      </c>
      <c r="O7" s="8" t="str">
        <f>"006174"</f>
        <v>006174</v>
      </c>
      <c r="P7" s="7">
        <v>42999</v>
      </c>
      <c r="Q7" s="10">
        <v>3.2181999999999999</v>
      </c>
      <c r="R7" s="10">
        <v>0.21729999999999999</v>
      </c>
      <c r="S7" s="10">
        <v>3.0009000000000001</v>
      </c>
      <c r="T7" s="8">
        <v>17</v>
      </c>
      <c r="U7" s="7">
        <v>43567</v>
      </c>
      <c r="V7" s="8">
        <v>9880158718</v>
      </c>
      <c r="W7" s="9" t="s">
        <v>93</v>
      </c>
      <c r="X7" s="8" t="s">
        <v>33</v>
      </c>
      <c r="Y7" s="9" t="s">
        <v>34</v>
      </c>
      <c r="Z7" s="8" t="s">
        <v>35</v>
      </c>
      <c r="AA7" s="9" t="s">
        <v>36</v>
      </c>
      <c r="AB7" s="10">
        <f t="shared" si="0"/>
        <v>3.2182000000000002E-2</v>
      </c>
    </row>
    <row r="8" spans="1:28" s="4" customFormat="1" ht="13" x14ac:dyDescent="0.3">
      <c r="A8" s="5">
        <v>52</v>
      </c>
      <c r="B8" s="6" t="s">
        <v>28</v>
      </c>
      <c r="C8" s="7">
        <v>43567</v>
      </c>
      <c r="D8" s="8">
        <v>2</v>
      </c>
      <c r="E8" s="9" t="s">
        <v>46</v>
      </c>
      <c r="F8" s="8" t="s">
        <v>51</v>
      </c>
      <c r="G8" s="9" t="s">
        <v>50</v>
      </c>
      <c r="H8" s="8" t="str">
        <f>"000032"</f>
        <v>000032</v>
      </c>
      <c r="I8" s="7">
        <v>42772</v>
      </c>
      <c r="J8" s="8" t="str">
        <f>"000024"</f>
        <v>000024</v>
      </c>
      <c r="K8" s="7">
        <v>42867</v>
      </c>
      <c r="L8" s="8" t="str">
        <f>"000024"</f>
        <v>000024</v>
      </c>
      <c r="M8" s="7">
        <v>42867</v>
      </c>
      <c r="N8" s="8">
        <v>16</v>
      </c>
      <c r="O8" s="8" t="str">
        <f>"006174"</f>
        <v>006174</v>
      </c>
      <c r="P8" s="7">
        <v>42999</v>
      </c>
      <c r="Q8" s="10">
        <v>7.72675</v>
      </c>
      <c r="R8" s="10">
        <v>0.76565000000000005</v>
      </c>
      <c r="S8" s="10">
        <v>6.9611000000000001</v>
      </c>
      <c r="T8" s="8">
        <v>17</v>
      </c>
      <c r="U8" s="7">
        <v>43567</v>
      </c>
      <c r="V8" s="8">
        <v>9880158718</v>
      </c>
      <c r="W8" s="9" t="s">
        <v>49</v>
      </c>
      <c r="X8" s="8" t="s">
        <v>33</v>
      </c>
      <c r="Y8" s="9" t="s">
        <v>34</v>
      </c>
      <c r="Z8" s="8" t="s">
        <v>35</v>
      </c>
      <c r="AA8" s="9" t="s">
        <v>36</v>
      </c>
      <c r="AB8" s="10">
        <f t="shared" si="0"/>
        <v>7.7267500000000003E-2</v>
      </c>
    </row>
    <row r="9" spans="1:28" s="4" customFormat="1" ht="13" x14ac:dyDescent="0.3">
      <c r="A9" s="5">
        <v>53</v>
      </c>
      <c r="B9" s="6" t="s">
        <v>28</v>
      </c>
      <c r="C9" s="7">
        <v>43575</v>
      </c>
      <c r="D9" s="8">
        <v>2</v>
      </c>
      <c r="E9" s="9" t="s">
        <v>46</v>
      </c>
      <c r="F9" s="8" t="s">
        <v>51</v>
      </c>
      <c r="G9" s="9" t="s">
        <v>50</v>
      </c>
      <c r="H9" s="8" t="str">
        <f>"000032"</f>
        <v>000032</v>
      </c>
      <c r="I9" s="7">
        <v>42772</v>
      </c>
      <c r="J9" s="8" t="str">
        <f>"000024"</f>
        <v>000024</v>
      </c>
      <c r="K9" s="7">
        <v>42867</v>
      </c>
      <c r="L9" s="8" t="str">
        <f>"000024"</f>
        <v>000024</v>
      </c>
      <c r="M9" s="7">
        <v>42867</v>
      </c>
      <c r="N9" s="8">
        <v>16</v>
      </c>
      <c r="O9" s="8" t="str">
        <f>"006174"</f>
        <v>006174</v>
      </c>
      <c r="P9" s="7">
        <v>42999</v>
      </c>
      <c r="Q9" s="10">
        <v>6.1814</v>
      </c>
      <c r="R9" s="10">
        <v>0.75161999999999995</v>
      </c>
      <c r="S9" s="10">
        <v>5.4297800000000001</v>
      </c>
      <c r="T9" s="8">
        <v>20</v>
      </c>
      <c r="U9" s="7">
        <v>43575</v>
      </c>
      <c r="V9" s="8">
        <v>9880158718</v>
      </c>
      <c r="W9" s="9" t="s">
        <v>49</v>
      </c>
      <c r="X9" s="8" t="s">
        <v>33</v>
      </c>
      <c r="Y9" s="9" t="s">
        <v>34</v>
      </c>
      <c r="Z9" s="8" t="s">
        <v>35</v>
      </c>
      <c r="AA9" s="9" t="s">
        <v>36</v>
      </c>
      <c r="AB9" s="10">
        <f t="shared" si="0"/>
        <v>6.1814000000000001E-2</v>
      </c>
    </row>
    <row r="10" spans="1:28" s="4" customFormat="1" ht="13" x14ac:dyDescent="0.3">
      <c r="A10" s="5">
        <v>54</v>
      </c>
      <c r="B10" s="6" t="s">
        <v>28</v>
      </c>
      <c r="C10" s="7">
        <v>43580</v>
      </c>
      <c r="D10" s="8">
        <v>2</v>
      </c>
      <c r="E10" s="9" t="s">
        <v>46</v>
      </c>
      <c r="F10" s="8" t="s">
        <v>51</v>
      </c>
      <c r="G10" s="9" t="s">
        <v>50</v>
      </c>
      <c r="H10" s="8" t="str">
        <f>"000032"</f>
        <v>000032</v>
      </c>
      <c r="I10" s="7">
        <v>42772</v>
      </c>
      <c r="J10" s="8" t="str">
        <f>"000024"</f>
        <v>000024</v>
      </c>
      <c r="K10" s="7">
        <v>42867</v>
      </c>
      <c r="L10" s="8" t="str">
        <f>"000024"</f>
        <v>000024</v>
      </c>
      <c r="M10" s="7">
        <v>42867</v>
      </c>
      <c r="N10" s="8">
        <v>16</v>
      </c>
      <c r="O10" s="8" t="str">
        <f>"006174"</f>
        <v>006174</v>
      </c>
      <c r="P10" s="7">
        <v>42999</v>
      </c>
      <c r="Q10" s="10">
        <v>3.0907</v>
      </c>
      <c r="R10" s="10">
        <v>0.47145999999999999</v>
      </c>
      <c r="S10" s="10">
        <v>2.61924</v>
      </c>
      <c r="T10" s="8">
        <v>29</v>
      </c>
      <c r="U10" s="7">
        <v>43580</v>
      </c>
      <c r="V10" s="8">
        <v>9880158718</v>
      </c>
      <c r="W10" s="9" t="s">
        <v>49</v>
      </c>
      <c r="X10" s="8" t="s">
        <v>33</v>
      </c>
      <c r="Y10" s="9" t="s">
        <v>34</v>
      </c>
      <c r="Z10" s="8" t="s">
        <v>35</v>
      </c>
      <c r="AA10" s="9" t="s">
        <v>36</v>
      </c>
      <c r="AB10" s="10">
        <f t="shared" si="0"/>
        <v>3.0907E-2</v>
      </c>
    </row>
    <row r="11" spans="1:28" s="4" customFormat="1" ht="13" x14ac:dyDescent="0.3">
      <c r="A11" s="5">
        <v>55</v>
      </c>
      <c r="B11" s="6" t="s">
        <v>28</v>
      </c>
      <c r="C11" s="7">
        <v>43581</v>
      </c>
      <c r="D11" s="8">
        <v>2</v>
      </c>
      <c r="E11" s="9" t="s">
        <v>46</v>
      </c>
      <c r="F11" s="8" t="s">
        <v>92</v>
      </c>
      <c r="G11" s="9" t="s">
        <v>91</v>
      </c>
      <c r="H11" s="8" t="str">
        <f>"000022"</f>
        <v>000022</v>
      </c>
      <c r="I11" s="7">
        <v>43368</v>
      </c>
      <c r="J11" s="8" t="str">
        <f>"000046"</f>
        <v>000046</v>
      </c>
      <c r="K11" s="7">
        <v>43389</v>
      </c>
      <c r="L11" s="8" t="str">
        <f>"000073"</f>
        <v>000073</v>
      </c>
      <c r="M11" s="7">
        <v>43402</v>
      </c>
      <c r="N11" s="8">
        <v>15</v>
      </c>
      <c r="O11" s="8" t="str">
        <f>"000909"</f>
        <v>000909</v>
      </c>
      <c r="P11" s="7">
        <v>43579</v>
      </c>
      <c r="Q11" s="10">
        <v>19.649290000000001</v>
      </c>
      <c r="R11" s="10">
        <v>2.1000999999999999</v>
      </c>
      <c r="S11" s="10">
        <v>17.549189999999999</v>
      </c>
      <c r="T11" s="8">
        <v>30</v>
      </c>
      <c r="U11" s="7">
        <v>43581</v>
      </c>
      <c r="V11" s="8">
        <v>9035609668</v>
      </c>
      <c r="W11" s="9" t="s">
        <v>43</v>
      </c>
      <c r="X11" s="8" t="s">
        <v>68</v>
      </c>
      <c r="Y11" s="9" t="s">
        <v>67</v>
      </c>
      <c r="Z11" s="8" t="s">
        <v>31</v>
      </c>
      <c r="AA11" s="9" t="s">
        <v>32</v>
      </c>
      <c r="AB11" s="10">
        <f t="shared" si="0"/>
        <v>0.1964929</v>
      </c>
    </row>
    <row r="12" spans="1:28" s="4" customFormat="1" ht="13" x14ac:dyDescent="0.3">
      <c r="A12" s="5">
        <v>56</v>
      </c>
      <c r="B12" s="6" t="s">
        <v>40</v>
      </c>
      <c r="C12" s="7">
        <v>43603</v>
      </c>
      <c r="D12" s="8">
        <v>2</v>
      </c>
      <c r="E12" s="9" t="s">
        <v>46</v>
      </c>
      <c r="F12" s="8" t="s">
        <v>59</v>
      </c>
      <c r="G12" s="9" t="s">
        <v>58</v>
      </c>
      <c r="H12" s="8" t="str">
        <f>"000018"</f>
        <v>000018</v>
      </c>
      <c r="I12" s="7">
        <v>42990</v>
      </c>
      <c r="J12" s="8" t="str">
        <f>"000005"</f>
        <v>000005</v>
      </c>
      <c r="K12" s="7">
        <v>42990</v>
      </c>
      <c r="L12" s="8" t="str">
        <f>"000009"</f>
        <v>000009</v>
      </c>
      <c r="M12" s="7">
        <v>42990</v>
      </c>
      <c r="N12" s="8">
        <v>17</v>
      </c>
      <c r="O12" s="8" t="str">
        <f>"001735"</f>
        <v>001735</v>
      </c>
      <c r="P12" s="7">
        <v>43602</v>
      </c>
      <c r="Q12" s="10">
        <v>20.829809999999998</v>
      </c>
      <c r="R12" s="10">
        <v>1.3175699999999999</v>
      </c>
      <c r="S12" s="10">
        <v>19.512239999999998</v>
      </c>
      <c r="T12" s="8">
        <v>50</v>
      </c>
      <c r="U12" s="7">
        <v>43603</v>
      </c>
      <c r="V12" s="8">
        <v>9632881569</v>
      </c>
      <c r="W12" s="9" t="s">
        <v>57</v>
      </c>
      <c r="X12" s="8" t="s">
        <v>38</v>
      </c>
      <c r="Y12" s="9" t="s">
        <v>39</v>
      </c>
      <c r="Z12" s="8" t="s">
        <v>31</v>
      </c>
      <c r="AA12" s="9" t="s">
        <v>32</v>
      </c>
      <c r="AB12" s="10">
        <f t="shared" si="0"/>
        <v>0.20829809999999999</v>
      </c>
    </row>
    <row r="13" spans="1:28" s="4" customFormat="1" ht="13" x14ac:dyDescent="0.3">
      <c r="A13" s="5">
        <v>57</v>
      </c>
      <c r="B13" s="6" t="s">
        <v>40</v>
      </c>
      <c r="C13" s="7">
        <v>43603</v>
      </c>
      <c r="D13" s="8">
        <v>2</v>
      </c>
      <c r="E13" s="9" t="s">
        <v>46</v>
      </c>
      <c r="F13" s="8" t="s">
        <v>56</v>
      </c>
      <c r="G13" s="9" t="s">
        <v>55</v>
      </c>
      <c r="H13" s="8" t="str">
        <f>"000037"</f>
        <v>000037</v>
      </c>
      <c r="I13" s="7">
        <v>43032</v>
      </c>
      <c r="J13" s="8" t="str">
        <f>"000011"</f>
        <v>000011</v>
      </c>
      <c r="K13" s="7">
        <v>43032</v>
      </c>
      <c r="L13" s="8" t="str">
        <f>"000023"</f>
        <v>000023</v>
      </c>
      <c r="M13" s="7">
        <v>43032</v>
      </c>
      <c r="N13" s="8">
        <v>17</v>
      </c>
      <c r="O13" s="8" t="str">
        <f>"001741"</f>
        <v>001741</v>
      </c>
      <c r="P13" s="7">
        <v>43602</v>
      </c>
      <c r="Q13" s="10">
        <v>18.340610000000002</v>
      </c>
      <c r="R13" s="10">
        <v>1.1545000000000001</v>
      </c>
      <c r="S13" s="10">
        <v>17.186109999999999</v>
      </c>
      <c r="T13" s="8">
        <v>50</v>
      </c>
      <c r="U13" s="7">
        <v>43603</v>
      </c>
      <c r="V13" s="8">
        <v>9886650236</v>
      </c>
      <c r="W13" s="9" t="s">
        <v>52</v>
      </c>
      <c r="X13" s="8" t="s">
        <v>38</v>
      </c>
      <c r="Y13" s="9" t="s">
        <v>39</v>
      </c>
      <c r="Z13" s="8" t="s">
        <v>31</v>
      </c>
      <c r="AA13" s="9" t="s">
        <v>32</v>
      </c>
      <c r="AB13" s="10">
        <f t="shared" si="0"/>
        <v>0.18340610000000002</v>
      </c>
    </row>
    <row r="14" spans="1:28" s="4" customFormat="1" ht="13" x14ac:dyDescent="0.3">
      <c r="A14" s="5">
        <v>58</v>
      </c>
      <c r="B14" s="6" t="s">
        <v>40</v>
      </c>
      <c r="C14" s="7">
        <v>43603</v>
      </c>
      <c r="D14" s="8">
        <v>2</v>
      </c>
      <c r="E14" s="9" t="s">
        <v>46</v>
      </c>
      <c r="F14" s="8" t="s">
        <v>54</v>
      </c>
      <c r="G14" s="9" t="s">
        <v>53</v>
      </c>
      <c r="H14" s="8" t="str">
        <f>"000038"</f>
        <v>000038</v>
      </c>
      <c r="I14" s="7">
        <v>43033</v>
      </c>
      <c r="J14" s="8" t="str">
        <f>"000012"</f>
        <v>000012</v>
      </c>
      <c r="K14" s="7">
        <v>43033</v>
      </c>
      <c r="L14" s="8" t="str">
        <f>"000024"</f>
        <v>000024</v>
      </c>
      <c r="M14" s="7">
        <v>43033</v>
      </c>
      <c r="N14" s="8">
        <v>17</v>
      </c>
      <c r="O14" s="8" t="str">
        <f>"001750"</f>
        <v>001750</v>
      </c>
      <c r="P14" s="7">
        <v>43602</v>
      </c>
      <c r="Q14" s="10">
        <v>22.964500000000001</v>
      </c>
      <c r="R14" s="10">
        <v>1.36646</v>
      </c>
      <c r="S14" s="10">
        <v>21.598040000000001</v>
      </c>
      <c r="T14" s="8">
        <v>50</v>
      </c>
      <c r="U14" s="7">
        <v>43603</v>
      </c>
      <c r="V14" s="8">
        <v>9886650236</v>
      </c>
      <c r="W14" s="9" t="s">
        <v>52</v>
      </c>
      <c r="X14" s="8" t="s">
        <v>38</v>
      </c>
      <c r="Y14" s="9" t="s">
        <v>39</v>
      </c>
      <c r="Z14" s="8" t="s">
        <v>31</v>
      </c>
      <c r="AA14" s="9" t="s">
        <v>32</v>
      </c>
      <c r="AB14" s="10">
        <f t="shared" si="0"/>
        <v>0.22964500000000002</v>
      </c>
    </row>
    <row r="15" spans="1:28" s="4" customFormat="1" ht="13" x14ac:dyDescent="0.3">
      <c r="A15" s="5">
        <v>59</v>
      </c>
      <c r="B15" s="6" t="s">
        <v>40</v>
      </c>
      <c r="C15" s="7">
        <v>43606</v>
      </c>
      <c r="D15" s="8">
        <v>2</v>
      </c>
      <c r="E15" s="9" t="s">
        <v>46</v>
      </c>
      <c r="F15" s="8" t="s">
        <v>51</v>
      </c>
      <c r="G15" s="9" t="s">
        <v>50</v>
      </c>
      <c r="H15" s="8" t="str">
        <f>"000032"</f>
        <v>000032</v>
      </c>
      <c r="I15" s="7">
        <v>42772</v>
      </c>
      <c r="J15" s="8" t="str">
        <f>"000024"</f>
        <v>000024</v>
      </c>
      <c r="K15" s="7">
        <v>42867</v>
      </c>
      <c r="L15" s="8" t="str">
        <f>"000024"</f>
        <v>000024</v>
      </c>
      <c r="M15" s="7">
        <v>42867</v>
      </c>
      <c r="N15" s="8">
        <v>16</v>
      </c>
      <c r="O15" s="8" t="str">
        <f>"006174"</f>
        <v>006174</v>
      </c>
      <c r="P15" s="7">
        <v>42999</v>
      </c>
      <c r="Q15" s="10">
        <v>4.63605</v>
      </c>
      <c r="R15" s="10">
        <v>0.55215999999999998</v>
      </c>
      <c r="S15" s="10">
        <v>4.0838900000000002</v>
      </c>
      <c r="T15" s="8">
        <v>55</v>
      </c>
      <c r="U15" s="7">
        <v>43606</v>
      </c>
      <c r="V15" s="8">
        <v>9880158718</v>
      </c>
      <c r="W15" s="9" t="s">
        <v>49</v>
      </c>
      <c r="X15" s="8" t="s">
        <v>33</v>
      </c>
      <c r="Y15" s="9" t="s">
        <v>34</v>
      </c>
      <c r="Z15" s="8" t="s">
        <v>35</v>
      </c>
      <c r="AA15" s="9" t="s">
        <v>36</v>
      </c>
      <c r="AB15" s="10">
        <f t="shared" si="0"/>
        <v>4.6360499999999999E-2</v>
      </c>
    </row>
    <row r="16" spans="1:28" s="4" customFormat="1" ht="13" x14ac:dyDescent="0.3">
      <c r="A16" s="5">
        <v>60</v>
      </c>
      <c r="B16" s="6" t="s">
        <v>40</v>
      </c>
      <c r="C16" s="7">
        <v>43615</v>
      </c>
      <c r="D16" s="8">
        <v>2</v>
      </c>
      <c r="E16" s="9" t="s">
        <v>46</v>
      </c>
      <c r="F16" s="8" t="s">
        <v>48</v>
      </c>
      <c r="G16" s="9" t="s">
        <v>47</v>
      </c>
      <c r="H16" s="8" t="str">
        <f>"000048"</f>
        <v>000048</v>
      </c>
      <c r="I16" s="7">
        <v>43052</v>
      </c>
      <c r="J16" s="8" t="str">
        <f>"000014"</f>
        <v>000014</v>
      </c>
      <c r="K16" s="7">
        <v>43052</v>
      </c>
      <c r="L16" s="8" t="str">
        <f>"000028"</f>
        <v>000028</v>
      </c>
      <c r="M16" s="7">
        <v>43052</v>
      </c>
      <c r="N16" s="8">
        <v>16</v>
      </c>
      <c r="O16" s="8" t="str">
        <f>"002178"</f>
        <v>002178</v>
      </c>
      <c r="P16" s="7">
        <v>43613</v>
      </c>
      <c r="Q16" s="10">
        <v>7.9847999999999999</v>
      </c>
      <c r="R16" s="10">
        <v>0.88161999999999996</v>
      </c>
      <c r="S16" s="10">
        <v>7.10318</v>
      </c>
      <c r="T16" s="8">
        <v>65</v>
      </c>
      <c r="U16" s="7">
        <v>43615</v>
      </c>
      <c r="V16" s="8">
        <v>9035609668</v>
      </c>
      <c r="W16" s="9" t="s">
        <v>43</v>
      </c>
      <c r="X16" s="8" t="s">
        <v>41</v>
      </c>
      <c r="Y16" s="9" t="s">
        <v>42</v>
      </c>
      <c r="Z16" s="8" t="s">
        <v>31</v>
      </c>
      <c r="AA16" s="9" t="s">
        <v>32</v>
      </c>
      <c r="AB16" s="10">
        <f t="shared" si="0"/>
        <v>7.9848000000000002E-2</v>
      </c>
    </row>
    <row r="17" spans="1:28" s="4" customFormat="1" ht="13" x14ac:dyDescent="0.3">
      <c r="A17" s="5">
        <v>61</v>
      </c>
      <c r="B17" s="6" t="s">
        <v>40</v>
      </c>
      <c r="C17" s="7">
        <v>43615</v>
      </c>
      <c r="D17" s="8">
        <v>2</v>
      </c>
      <c r="E17" s="9" t="s">
        <v>46</v>
      </c>
      <c r="F17" s="8" t="s">
        <v>45</v>
      </c>
      <c r="G17" s="9" t="s">
        <v>44</v>
      </c>
      <c r="H17" s="8" t="str">
        <f>"000039"</f>
        <v>000039</v>
      </c>
      <c r="I17" s="7">
        <v>43033</v>
      </c>
      <c r="J17" s="8" t="str">
        <f>"000015"</f>
        <v>000015</v>
      </c>
      <c r="K17" s="7">
        <v>43054</v>
      </c>
      <c r="L17" s="8" t="str">
        <f>"000030"</f>
        <v>000030</v>
      </c>
      <c r="M17" s="7">
        <v>43054</v>
      </c>
      <c r="N17" s="8">
        <v>16</v>
      </c>
      <c r="O17" s="8" t="str">
        <f>"002179"</f>
        <v>002179</v>
      </c>
      <c r="P17" s="7">
        <v>43613</v>
      </c>
      <c r="Q17" s="10">
        <v>14.95767</v>
      </c>
      <c r="R17" s="10">
        <v>1.73468</v>
      </c>
      <c r="S17" s="10">
        <v>13.222989999999999</v>
      </c>
      <c r="T17" s="8">
        <v>65</v>
      </c>
      <c r="U17" s="7">
        <v>43615</v>
      </c>
      <c r="V17" s="8">
        <v>9035609668</v>
      </c>
      <c r="W17" s="9" t="s">
        <v>43</v>
      </c>
      <c r="X17" s="8" t="s">
        <v>41</v>
      </c>
      <c r="Y17" s="9" t="s">
        <v>42</v>
      </c>
      <c r="Z17" s="8" t="s">
        <v>31</v>
      </c>
      <c r="AA17" s="9" t="s">
        <v>32</v>
      </c>
      <c r="AB17" s="10">
        <f t="shared" si="0"/>
        <v>0.14957670000000001</v>
      </c>
    </row>
    <row r="18" spans="1:28" s="4" customFormat="1" ht="13" x14ac:dyDescent="0.3">
      <c r="A18" s="5">
        <v>62</v>
      </c>
      <c r="B18" s="6" t="s">
        <v>37</v>
      </c>
      <c r="C18" s="7">
        <v>43622</v>
      </c>
      <c r="D18" s="8">
        <v>2</v>
      </c>
      <c r="E18" s="9" t="s">
        <v>46</v>
      </c>
      <c r="F18" s="8" t="s">
        <v>90</v>
      </c>
      <c r="G18" s="9" t="s">
        <v>89</v>
      </c>
      <c r="H18" s="8" t="str">
        <f>"000095"</f>
        <v>000095</v>
      </c>
      <c r="I18" s="7">
        <v>43449</v>
      </c>
      <c r="J18" s="8" t="str">
        <f>"000070"</f>
        <v>000070</v>
      </c>
      <c r="K18" s="7">
        <v>43502</v>
      </c>
      <c r="L18" s="8" t="str">
        <f>"000109"</f>
        <v>000109</v>
      </c>
      <c r="M18" s="7">
        <v>43507</v>
      </c>
      <c r="N18" s="8">
        <v>19</v>
      </c>
      <c r="O18" s="8" t="str">
        <f>"002288"</f>
        <v>002288</v>
      </c>
      <c r="P18" s="7">
        <v>43615</v>
      </c>
      <c r="Q18" s="10">
        <v>49.486280000000001</v>
      </c>
      <c r="R18" s="10">
        <v>5.0953900000000001</v>
      </c>
      <c r="S18" s="10">
        <v>44.390889999999999</v>
      </c>
      <c r="T18" s="8">
        <v>70</v>
      </c>
      <c r="U18" s="7">
        <v>43622</v>
      </c>
      <c r="V18" s="8">
        <v>9035609668</v>
      </c>
      <c r="W18" s="9" t="s">
        <v>43</v>
      </c>
      <c r="X18" s="8" t="s">
        <v>68</v>
      </c>
      <c r="Y18" s="9" t="s">
        <v>67</v>
      </c>
      <c r="Z18" s="8" t="s">
        <v>31</v>
      </c>
      <c r="AA18" s="9" t="s">
        <v>32</v>
      </c>
      <c r="AB18" s="10">
        <v>0.49486279999999999</v>
      </c>
    </row>
    <row r="19" spans="1:28" s="4" customFormat="1" ht="13" x14ac:dyDescent="0.3">
      <c r="A19" s="5">
        <v>63</v>
      </c>
      <c r="B19" s="6" t="s">
        <v>37</v>
      </c>
      <c r="C19" s="7">
        <v>43628</v>
      </c>
      <c r="D19" s="8">
        <v>2</v>
      </c>
      <c r="E19" s="9" t="s">
        <v>46</v>
      </c>
      <c r="F19" s="8" t="s">
        <v>88</v>
      </c>
      <c r="G19" s="9" t="s">
        <v>87</v>
      </c>
      <c r="H19" s="8" t="str">
        <f>"000055"</f>
        <v>000055</v>
      </c>
      <c r="I19" s="7">
        <v>43055</v>
      </c>
      <c r="J19" s="8" t="str">
        <f>"000021"</f>
        <v>000021</v>
      </c>
      <c r="K19" s="7">
        <v>43069</v>
      </c>
      <c r="L19" s="8" t="str">
        <f>"000039"</f>
        <v>000039</v>
      </c>
      <c r="M19" s="7">
        <v>43073</v>
      </c>
      <c r="N19" s="8">
        <v>17</v>
      </c>
      <c r="O19" s="8" t="str">
        <f>"002479"</f>
        <v>002479</v>
      </c>
      <c r="P19" s="7">
        <v>43622</v>
      </c>
      <c r="Q19" s="10">
        <v>28.310099999999998</v>
      </c>
      <c r="R19" s="10">
        <v>1.7802100000000001</v>
      </c>
      <c r="S19" s="10">
        <v>26.529890000000002</v>
      </c>
      <c r="T19" s="8">
        <v>76</v>
      </c>
      <c r="U19" s="7">
        <v>43628</v>
      </c>
      <c r="V19" s="8">
        <v>9886650236</v>
      </c>
      <c r="W19" s="9" t="s">
        <v>86</v>
      </c>
      <c r="X19" s="8" t="s">
        <v>38</v>
      </c>
      <c r="Y19" s="9" t="s">
        <v>39</v>
      </c>
      <c r="Z19" s="8" t="s">
        <v>31</v>
      </c>
      <c r="AA19" s="9" t="s">
        <v>32</v>
      </c>
      <c r="AB19" s="10">
        <v>0.28310099999999999</v>
      </c>
    </row>
    <row r="20" spans="1:28" s="4" customFormat="1" ht="13" x14ac:dyDescent="0.3">
      <c r="A20" s="5">
        <v>64</v>
      </c>
      <c r="B20" s="6" t="s">
        <v>37</v>
      </c>
      <c r="C20" s="7">
        <v>43628</v>
      </c>
      <c r="D20" s="8">
        <v>2</v>
      </c>
      <c r="E20" s="9" t="s">
        <v>46</v>
      </c>
      <c r="F20" s="8" t="s">
        <v>85</v>
      </c>
      <c r="G20" s="9" t="s">
        <v>84</v>
      </c>
      <c r="H20" s="8" t="str">
        <f>"000065"</f>
        <v>000065</v>
      </c>
      <c r="I20" s="7">
        <v>43069</v>
      </c>
      <c r="J20" s="8" t="str">
        <f>"000024"</f>
        <v>000024</v>
      </c>
      <c r="K20" s="7">
        <v>43073</v>
      </c>
      <c r="L20" s="8" t="str">
        <f>"000041"</f>
        <v>000041</v>
      </c>
      <c r="M20" s="7">
        <v>43075</v>
      </c>
      <c r="N20" s="8">
        <v>17</v>
      </c>
      <c r="O20" s="8" t="str">
        <f>"002481"</f>
        <v>002481</v>
      </c>
      <c r="P20" s="7">
        <v>43622</v>
      </c>
      <c r="Q20" s="10">
        <v>29.975359999999998</v>
      </c>
      <c r="R20" s="10">
        <v>3.3874</v>
      </c>
      <c r="S20" s="10">
        <v>26.587959999999999</v>
      </c>
      <c r="T20" s="8">
        <v>76</v>
      </c>
      <c r="U20" s="7">
        <v>43628</v>
      </c>
      <c r="V20" s="8">
        <v>9035609668</v>
      </c>
      <c r="W20" s="9" t="s">
        <v>76</v>
      </c>
      <c r="X20" s="8" t="s">
        <v>75</v>
      </c>
      <c r="Y20" s="9" t="s">
        <v>74</v>
      </c>
      <c r="Z20" s="8" t="s">
        <v>31</v>
      </c>
      <c r="AA20" s="9" t="s">
        <v>32</v>
      </c>
      <c r="AB20" s="10">
        <v>0.29975360000000001</v>
      </c>
    </row>
    <row r="21" spans="1:28" s="4" customFormat="1" ht="13" x14ac:dyDescent="0.3">
      <c r="A21" s="5">
        <v>65</v>
      </c>
      <c r="B21" s="6" t="s">
        <v>37</v>
      </c>
      <c r="C21" s="7">
        <v>43628</v>
      </c>
      <c r="D21" s="8">
        <v>2</v>
      </c>
      <c r="E21" s="9" t="s">
        <v>46</v>
      </c>
      <c r="F21" s="8" t="s">
        <v>83</v>
      </c>
      <c r="G21" s="9" t="s">
        <v>82</v>
      </c>
      <c r="H21" s="8" t="str">
        <f>"000068"</f>
        <v>000068</v>
      </c>
      <c r="I21" s="7">
        <v>43073</v>
      </c>
      <c r="J21" s="8" t="str">
        <f>"000027"</f>
        <v>000027</v>
      </c>
      <c r="K21" s="7">
        <v>43074</v>
      </c>
      <c r="L21" s="8" t="str">
        <f>"000042"</f>
        <v>000042</v>
      </c>
      <c r="M21" s="7">
        <v>43075</v>
      </c>
      <c r="N21" s="8">
        <v>17</v>
      </c>
      <c r="O21" s="8" t="str">
        <f>"002482"</f>
        <v>002482</v>
      </c>
      <c r="P21" s="7">
        <v>43622</v>
      </c>
      <c r="Q21" s="10">
        <v>39.96461</v>
      </c>
      <c r="R21" s="10">
        <v>4.4663300000000001</v>
      </c>
      <c r="S21" s="10">
        <v>35.498280000000001</v>
      </c>
      <c r="T21" s="8">
        <v>76</v>
      </c>
      <c r="U21" s="7">
        <v>43628</v>
      </c>
      <c r="V21" s="8">
        <v>9035609668</v>
      </c>
      <c r="W21" s="9" t="s">
        <v>79</v>
      </c>
      <c r="X21" s="8" t="s">
        <v>75</v>
      </c>
      <c r="Y21" s="9" t="s">
        <v>74</v>
      </c>
      <c r="Z21" s="8" t="s">
        <v>31</v>
      </c>
      <c r="AA21" s="9" t="s">
        <v>32</v>
      </c>
      <c r="AB21" s="10">
        <v>0.3996461</v>
      </c>
    </row>
    <row r="22" spans="1:28" s="4" customFormat="1" ht="13" x14ac:dyDescent="0.3">
      <c r="A22" s="5">
        <v>66</v>
      </c>
      <c r="B22" s="6" t="s">
        <v>37</v>
      </c>
      <c r="C22" s="7">
        <v>43628</v>
      </c>
      <c r="D22" s="8">
        <v>2</v>
      </c>
      <c r="E22" s="9" t="s">
        <v>46</v>
      </c>
      <c r="F22" s="8" t="s">
        <v>81</v>
      </c>
      <c r="G22" s="9" t="s">
        <v>80</v>
      </c>
      <c r="H22" s="8" t="str">
        <f>"000067"</f>
        <v>000067</v>
      </c>
      <c r="I22" s="7">
        <v>43073</v>
      </c>
      <c r="J22" s="8" t="str">
        <f>"000026"</f>
        <v>000026</v>
      </c>
      <c r="K22" s="7">
        <v>43074</v>
      </c>
      <c r="L22" s="8" t="str">
        <f>"000043"</f>
        <v>000043</v>
      </c>
      <c r="M22" s="7">
        <v>43075</v>
      </c>
      <c r="N22" s="8">
        <v>17</v>
      </c>
      <c r="O22" s="8" t="str">
        <f>"002483"</f>
        <v>002483</v>
      </c>
      <c r="P22" s="7">
        <v>43622</v>
      </c>
      <c r="Q22" s="10">
        <v>24.958539999999999</v>
      </c>
      <c r="R22" s="10">
        <v>2.8427699999999998</v>
      </c>
      <c r="S22" s="10">
        <v>22.115770000000001</v>
      </c>
      <c r="T22" s="8">
        <v>76</v>
      </c>
      <c r="U22" s="7">
        <v>43628</v>
      </c>
      <c r="V22" s="8">
        <v>9035609668</v>
      </c>
      <c r="W22" s="9" t="s">
        <v>79</v>
      </c>
      <c r="X22" s="8" t="s">
        <v>75</v>
      </c>
      <c r="Y22" s="9" t="s">
        <v>74</v>
      </c>
      <c r="Z22" s="8" t="s">
        <v>31</v>
      </c>
      <c r="AA22" s="9" t="s">
        <v>32</v>
      </c>
      <c r="AB22" s="10">
        <v>0.24958539999999999</v>
      </c>
    </row>
    <row r="23" spans="1:28" s="4" customFormat="1" ht="13" x14ac:dyDescent="0.3">
      <c r="A23" s="5">
        <v>67</v>
      </c>
      <c r="B23" s="6" t="s">
        <v>37</v>
      </c>
      <c r="C23" s="7">
        <v>43628</v>
      </c>
      <c r="D23" s="8">
        <v>2</v>
      </c>
      <c r="E23" s="9" t="s">
        <v>46</v>
      </c>
      <c r="F23" s="8" t="s">
        <v>78</v>
      </c>
      <c r="G23" s="9" t="s">
        <v>77</v>
      </c>
      <c r="H23" s="8" t="str">
        <f>"000066"</f>
        <v>000066</v>
      </c>
      <c r="I23" s="7">
        <v>43069</v>
      </c>
      <c r="J23" s="8" t="str">
        <f>"000025"</f>
        <v>000025</v>
      </c>
      <c r="K23" s="7">
        <v>43073</v>
      </c>
      <c r="L23" s="8" t="str">
        <f>"000044"</f>
        <v>000044</v>
      </c>
      <c r="M23" s="7">
        <v>43075</v>
      </c>
      <c r="N23" s="8">
        <v>17</v>
      </c>
      <c r="O23" s="8" t="str">
        <f>"002614"</f>
        <v>002614</v>
      </c>
      <c r="P23" s="7">
        <v>43627</v>
      </c>
      <c r="Q23" s="10">
        <v>39.94023</v>
      </c>
      <c r="R23" s="10">
        <v>4.4448499999999997</v>
      </c>
      <c r="S23" s="10">
        <v>35.495379999999997</v>
      </c>
      <c r="T23" s="8">
        <v>76</v>
      </c>
      <c r="U23" s="7">
        <v>43628</v>
      </c>
      <c r="V23" s="8">
        <v>9035609668</v>
      </c>
      <c r="W23" s="9" t="s">
        <v>76</v>
      </c>
      <c r="X23" s="8" t="s">
        <v>75</v>
      </c>
      <c r="Y23" s="9" t="s">
        <v>74</v>
      </c>
      <c r="Z23" s="8" t="s">
        <v>31</v>
      </c>
      <c r="AA23" s="9" t="s">
        <v>32</v>
      </c>
      <c r="AB23" s="10">
        <v>0.39940229999999999</v>
      </c>
    </row>
    <row r="24" spans="1:28" s="4" customFormat="1" ht="13" x14ac:dyDescent="0.3">
      <c r="A24" s="5">
        <v>68</v>
      </c>
      <c r="B24" s="6" t="s">
        <v>37</v>
      </c>
      <c r="C24" s="7">
        <v>43628</v>
      </c>
      <c r="D24" s="8">
        <v>2</v>
      </c>
      <c r="E24" s="9" t="s">
        <v>46</v>
      </c>
      <c r="F24" s="8" t="s">
        <v>73</v>
      </c>
      <c r="G24" s="9" t="s">
        <v>72</v>
      </c>
      <c r="H24" s="8" t="str">
        <f>"000017"</f>
        <v>000017</v>
      </c>
      <c r="I24" s="7">
        <v>43332</v>
      </c>
      <c r="J24" s="8" t="str">
        <f>"000072"</f>
        <v>000072</v>
      </c>
      <c r="K24" s="7">
        <v>43502</v>
      </c>
      <c r="L24" s="8" t="str">
        <f>"000116"</f>
        <v>000116</v>
      </c>
      <c r="M24" s="7">
        <v>43515</v>
      </c>
      <c r="N24" s="8">
        <v>18</v>
      </c>
      <c r="O24" s="8" t="str">
        <f>"002365"</f>
        <v>002365</v>
      </c>
      <c r="P24" s="7">
        <v>43619</v>
      </c>
      <c r="Q24" s="10">
        <v>53.701320000000003</v>
      </c>
      <c r="R24" s="10">
        <v>2.48773</v>
      </c>
      <c r="S24" s="10">
        <v>51.213590000000003</v>
      </c>
      <c r="T24" s="8">
        <v>77</v>
      </c>
      <c r="U24" s="7">
        <v>43628</v>
      </c>
      <c r="V24" s="8">
        <v>9845182420</v>
      </c>
      <c r="W24" s="9" t="s">
        <v>69</v>
      </c>
      <c r="X24" s="8" t="s">
        <v>68</v>
      </c>
      <c r="Y24" s="9" t="s">
        <v>67</v>
      </c>
      <c r="Z24" s="8" t="s">
        <v>31</v>
      </c>
      <c r="AA24" s="9" t="s">
        <v>32</v>
      </c>
      <c r="AB24" s="10">
        <v>0.53701320000000008</v>
      </c>
    </row>
    <row r="25" spans="1:28" s="4" customFormat="1" ht="13" x14ac:dyDescent="0.3">
      <c r="A25" s="5">
        <v>69</v>
      </c>
      <c r="B25" s="6" t="s">
        <v>37</v>
      </c>
      <c r="C25" s="7">
        <v>43628</v>
      </c>
      <c r="D25" s="8">
        <v>2</v>
      </c>
      <c r="E25" s="9" t="s">
        <v>46</v>
      </c>
      <c r="F25" s="8" t="s">
        <v>71</v>
      </c>
      <c r="G25" s="9" t="s">
        <v>70</v>
      </c>
      <c r="H25" s="8" t="str">
        <f>"000018"</f>
        <v>000018</v>
      </c>
      <c r="I25" s="7">
        <v>43332</v>
      </c>
      <c r="J25" s="8" t="str">
        <f>"000071"</f>
        <v>000071</v>
      </c>
      <c r="K25" s="7">
        <v>43502</v>
      </c>
      <c r="L25" s="8" t="str">
        <f>"000117"</f>
        <v>000117</v>
      </c>
      <c r="M25" s="7">
        <v>43515</v>
      </c>
      <c r="N25" s="8">
        <v>18</v>
      </c>
      <c r="O25" s="8" t="str">
        <f>"002366"</f>
        <v>002366</v>
      </c>
      <c r="P25" s="7">
        <v>43619</v>
      </c>
      <c r="Q25" s="10">
        <v>53.729570000000002</v>
      </c>
      <c r="R25" s="10">
        <v>2.8540199999999998</v>
      </c>
      <c r="S25" s="10">
        <v>50.875549999999997</v>
      </c>
      <c r="T25" s="8">
        <v>77</v>
      </c>
      <c r="U25" s="7">
        <v>43628</v>
      </c>
      <c r="V25" s="8">
        <v>9845182420</v>
      </c>
      <c r="W25" s="9" t="s">
        <v>69</v>
      </c>
      <c r="X25" s="8" t="s">
        <v>68</v>
      </c>
      <c r="Y25" s="9" t="s">
        <v>67</v>
      </c>
      <c r="Z25" s="8" t="s">
        <v>31</v>
      </c>
      <c r="AA25" s="9" t="s">
        <v>32</v>
      </c>
      <c r="AB25" s="10">
        <v>0.53729570000000004</v>
      </c>
    </row>
    <row r="26" spans="1:28" s="4" customFormat="1" ht="13" x14ac:dyDescent="0.3">
      <c r="A26" s="5">
        <v>70</v>
      </c>
      <c r="B26" s="6" t="s">
        <v>37</v>
      </c>
      <c r="C26" s="7">
        <v>43629</v>
      </c>
      <c r="D26" s="8">
        <v>2</v>
      </c>
      <c r="E26" s="9" t="s">
        <v>46</v>
      </c>
      <c r="F26" s="8" t="s">
        <v>66</v>
      </c>
      <c r="G26" s="9" t="s">
        <v>65</v>
      </c>
      <c r="H26" s="8" t="str">
        <f>"000001"</f>
        <v>000001</v>
      </c>
      <c r="I26" s="7">
        <v>43609</v>
      </c>
      <c r="J26" s="8" t="str">
        <f>"000002"</f>
        <v>000002</v>
      </c>
      <c r="K26" s="7">
        <v>43610</v>
      </c>
      <c r="L26" s="8" t="str">
        <f>"000002"</f>
        <v>000002</v>
      </c>
      <c r="M26" s="7">
        <v>43610</v>
      </c>
      <c r="N26" s="8">
        <v>18</v>
      </c>
      <c r="O26" s="8" t="str">
        <f>"002532"</f>
        <v>002532</v>
      </c>
      <c r="P26" s="7">
        <v>43623</v>
      </c>
      <c r="Q26" s="10">
        <v>68.5</v>
      </c>
      <c r="R26" s="10">
        <v>3.3466999999999998</v>
      </c>
      <c r="S26" s="10">
        <v>65.153300000000002</v>
      </c>
      <c r="T26" s="8">
        <v>80</v>
      </c>
      <c r="U26" s="7">
        <v>43629</v>
      </c>
      <c r="V26" s="8">
        <v>9148561909</v>
      </c>
      <c r="W26" s="9" t="s">
        <v>64</v>
      </c>
      <c r="X26" s="8" t="s">
        <v>63</v>
      </c>
      <c r="Y26" s="9" t="s">
        <v>62</v>
      </c>
      <c r="Z26" s="8" t="s">
        <v>61</v>
      </c>
      <c r="AA26" s="9" t="s">
        <v>60</v>
      </c>
      <c r="AB26" s="10">
        <v>0.68500000000000005</v>
      </c>
    </row>
    <row r="27" spans="1:28" s="4" customFormat="1" ht="13" x14ac:dyDescent="0.3">
      <c r="A27" s="5">
        <v>71</v>
      </c>
      <c r="B27" s="6" t="s">
        <v>131</v>
      </c>
      <c r="C27" s="7">
        <v>43647</v>
      </c>
      <c r="D27" s="8">
        <v>2</v>
      </c>
      <c r="E27" s="9" t="s">
        <v>46</v>
      </c>
      <c r="F27" s="8" t="s">
        <v>171</v>
      </c>
      <c r="G27" s="11" t="s">
        <v>170</v>
      </c>
      <c r="H27" s="8" t="str">
        <f>"000069"</f>
        <v>000069</v>
      </c>
      <c r="I27" s="7">
        <v>43076</v>
      </c>
      <c r="J27" s="8" t="str">
        <f>"000038"</f>
        <v>000038</v>
      </c>
      <c r="K27" s="7">
        <v>43129</v>
      </c>
      <c r="L27" s="8" t="str">
        <f>"000066"</f>
        <v>000066</v>
      </c>
      <c r="M27" s="7">
        <v>43131</v>
      </c>
      <c r="N27" s="8">
        <v>17</v>
      </c>
      <c r="O27" s="8" t="str">
        <f>"003182"</f>
        <v>003182</v>
      </c>
      <c r="P27" s="7">
        <v>43643</v>
      </c>
      <c r="Q27" s="12">
        <v>19.96397</v>
      </c>
      <c r="R27" s="12">
        <v>2.24647</v>
      </c>
      <c r="S27" s="12">
        <v>17.717500000000001</v>
      </c>
      <c r="T27" s="8">
        <v>96</v>
      </c>
      <c r="U27" s="7">
        <v>43647</v>
      </c>
      <c r="V27" s="8">
        <v>9035609668</v>
      </c>
      <c r="W27" s="11" t="s">
        <v>169</v>
      </c>
      <c r="X27" s="8" t="s">
        <v>161</v>
      </c>
      <c r="Y27" s="11" t="s">
        <v>160</v>
      </c>
      <c r="Z27" s="8" t="s">
        <v>31</v>
      </c>
      <c r="AA27" s="11" t="s">
        <v>32</v>
      </c>
      <c r="AB27" s="12">
        <f t="shared" ref="AB27:AB44" si="1">Q27/100</f>
        <v>0.1996397</v>
      </c>
    </row>
    <row r="28" spans="1:28" s="4" customFormat="1" ht="13" x14ac:dyDescent="0.3">
      <c r="A28" s="5">
        <v>72</v>
      </c>
      <c r="B28" s="6" t="s">
        <v>131</v>
      </c>
      <c r="C28" s="7">
        <v>43647</v>
      </c>
      <c r="D28" s="8">
        <v>2</v>
      </c>
      <c r="E28" s="9" t="s">
        <v>46</v>
      </c>
      <c r="F28" s="8" t="s">
        <v>168</v>
      </c>
      <c r="G28" s="11" t="s">
        <v>167</v>
      </c>
      <c r="H28" s="8" t="str">
        <f>"000070"</f>
        <v>000070</v>
      </c>
      <c r="I28" s="7">
        <v>43076</v>
      </c>
      <c r="J28" s="8" t="str">
        <f>"000039"</f>
        <v>000039</v>
      </c>
      <c r="K28" s="7">
        <v>43129</v>
      </c>
      <c r="L28" s="8" t="str">
        <f>"000067"</f>
        <v>000067</v>
      </c>
      <c r="M28" s="7">
        <v>43131</v>
      </c>
      <c r="N28" s="8">
        <v>17</v>
      </c>
      <c r="O28" s="8" t="str">
        <f>"003183"</f>
        <v>003183</v>
      </c>
      <c r="P28" s="7">
        <v>43643</v>
      </c>
      <c r="Q28" s="12">
        <v>24.837060000000001</v>
      </c>
      <c r="R28" s="12">
        <v>2.86097</v>
      </c>
      <c r="S28" s="12">
        <v>21.976089999999999</v>
      </c>
      <c r="T28" s="8">
        <v>96</v>
      </c>
      <c r="U28" s="7">
        <v>43647</v>
      </c>
      <c r="V28" s="8">
        <v>9035609668</v>
      </c>
      <c r="W28" s="11" t="s">
        <v>162</v>
      </c>
      <c r="X28" s="8" t="s">
        <v>161</v>
      </c>
      <c r="Y28" s="11" t="s">
        <v>160</v>
      </c>
      <c r="Z28" s="8" t="s">
        <v>31</v>
      </c>
      <c r="AA28" s="11" t="s">
        <v>32</v>
      </c>
      <c r="AB28" s="12">
        <f t="shared" si="1"/>
        <v>0.2483706</v>
      </c>
    </row>
    <row r="29" spans="1:28" s="4" customFormat="1" ht="13" x14ac:dyDescent="0.3">
      <c r="A29" s="5">
        <v>73</v>
      </c>
      <c r="B29" s="6" t="s">
        <v>131</v>
      </c>
      <c r="C29" s="7">
        <v>43647</v>
      </c>
      <c r="D29" s="8">
        <v>2</v>
      </c>
      <c r="E29" s="9" t="s">
        <v>46</v>
      </c>
      <c r="F29" s="8" t="s">
        <v>166</v>
      </c>
      <c r="G29" s="11" t="s">
        <v>165</v>
      </c>
      <c r="H29" s="8" t="str">
        <f>"000072"</f>
        <v>000072</v>
      </c>
      <c r="I29" s="7">
        <v>43076</v>
      </c>
      <c r="J29" s="8" t="str">
        <f>"000040"</f>
        <v>000040</v>
      </c>
      <c r="K29" s="7">
        <v>43129</v>
      </c>
      <c r="L29" s="8" t="str">
        <f>"000068"</f>
        <v>000068</v>
      </c>
      <c r="M29" s="7">
        <v>43131</v>
      </c>
      <c r="N29" s="8">
        <v>17</v>
      </c>
      <c r="O29" s="8" t="str">
        <f>"003185"</f>
        <v>003185</v>
      </c>
      <c r="P29" s="7">
        <v>43643</v>
      </c>
      <c r="Q29" s="12">
        <v>34.832050000000002</v>
      </c>
      <c r="R29" s="12">
        <v>3.85602</v>
      </c>
      <c r="S29" s="12">
        <v>30.976030000000002</v>
      </c>
      <c r="T29" s="8">
        <v>96</v>
      </c>
      <c r="U29" s="7">
        <v>43647</v>
      </c>
      <c r="V29" s="8">
        <v>9035609668</v>
      </c>
      <c r="W29" s="11" t="s">
        <v>162</v>
      </c>
      <c r="X29" s="8" t="s">
        <v>161</v>
      </c>
      <c r="Y29" s="11" t="s">
        <v>160</v>
      </c>
      <c r="Z29" s="8" t="s">
        <v>31</v>
      </c>
      <c r="AA29" s="11" t="s">
        <v>32</v>
      </c>
      <c r="AB29" s="12">
        <f t="shared" si="1"/>
        <v>0.34832050000000003</v>
      </c>
    </row>
    <row r="30" spans="1:28" s="4" customFormat="1" ht="13" x14ac:dyDescent="0.3">
      <c r="A30" s="5">
        <v>74</v>
      </c>
      <c r="B30" s="6" t="s">
        <v>131</v>
      </c>
      <c r="C30" s="7">
        <v>43647</v>
      </c>
      <c r="D30" s="8">
        <v>2</v>
      </c>
      <c r="E30" s="9" t="s">
        <v>46</v>
      </c>
      <c r="F30" s="8" t="s">
        <v>164</v>
      </c>
      <c r="G30" s="11" t="s">
        <v>163</v>
      </c>
      <c r="H30" s="8" t="str">
        <f>"000071"</f>
        <v>000071</v>
      </c>
      <c r="I30" s="7">
        <v>43076</v>
      </c>
      <c r="J30" s="8" t="str">
        <f>"000041"</f>
        <v>000041</v>
      </c>
      <c r="K30" s="7">
        <v>43129</v>
      </c>
      <c r="L30" s="8" t="str">
        <f>"000069"</f>
        <v>000069</v>
      </c>
      <c r="M30" s="7">
        <v>43131</v>
      </c>
      <c r="N30" s="8">
        <v>17</v>
      </c>
      <c r="O30" s="8" t="str">
        <f>"003187"</f>
        <v>003187</v>
      </c>
      <c r="P30" s="7">
        <v>43643</v>
      </c>
      <c r="Q30" s="12">
        <v>19.897120000000001</v>
      </c>
      <c r="R30" s="12">
        <v>2.2484199999999999</v>
      </c>
      <c r="S30" s="12">
        <v>17.648700000000002</v>
      </c>
      <c r="T30" s="8">
        <v>96</v>
      </c>
      <c r="U30" s="7">
        <v>43647</v>
      </c>
      <c r="V30" s="8">
        <v>9035609668</v>
      </c>
      <c r="W30" s="11" t="s">
        <v>162</v>
      </c>
      <c r="X30" s="8" t="s">
        <v>161</v>
      </c>
      <c r="Y30" s="11" t="s">
        <v>160</v>
      </c>
      <c r="Z30" s="8" t="s">
        <v>31</v>
      </c>
      <c r="AA30" s="11" t="s">
        <v>32</v>
      </c>
      <c r="AB30" s="12">
        <f t="shared" si="1"/>
        <v>0.19897120000000001</v>
      </c>
    </row>
    <row r="31" spans="1:28" s="4" customFormat="1" ht="13" x14ac:dyDescent="0.3">
      <c r="A31" s="5">
        <v>75</v>
      </c>
      <c r="B31" s="6" t="s">
        <v>131</v>
      </c>
      <c r="C31" s="7">
        <v>43650</v>
      </c>
      <c r="D31" s="8">
        <v>2</v>
      </c>
      <c r="E31" s="9" t="s">
        <v>46</v>
      </c>
      <c r="F31" s="8" t="s">
        <v>159</v>
      </c>
      <c r="G31" s="11" t="s">
        <v>158</v>
      </c>
      <c r="H31" s="8" t="str">
        <f>"000133"</f>
        <v>000133</v>
      </c>
      <c r="I31" s="7">
        <v>43531</v>
      </c>
      <c r="J31" s="8" t="str">
        <f>"000004"</f>
        <v>000004</v>
      </c>
      <c r="K31" s="7">
        <v>43613</v>
      </c>
      <c r="L31" s="8" t="str">
        <f>"000014"</f>
        <v>000014</v>
      </c>
      <c r="M31" s="7">
        <v>43619</v>
      </c>
      <c r="N31" s="8">
        <v>19</v>
      </c>
      <c r="O31" s="8" t="str">
        <f>"003267"</f>
        <v>003267</v>
      </c>
      <c r="P31" s="7">
        <v>43645</v>
      </c>
      <c r="Q31" s="12">
        <v>14.03224</v>
      </c>
      <c r="R31" s="12">
        <v>0.64732000000000001</v>
      </c>
      <c r="S31" s="12">
        <v>13.384919999999999</v>
      </c>
      <c r="T31" s="8">
        <v>106</v>
      </c>
      <c r="U31" s="7">
        <v>43650</v>
      </c>
      <c r="V31" s="8">
        <v>9611118200</v>
      </c>
      <c r="W31" s="11" t="s">
        <v>148</v>
      </c>
      <c r="X31" s="8" t="s">
        <v>157</v>
      </c>
      <c r="Y31" s="11" t="s">
        <v>156</v>
      </c>
      <c r="Z31" s="8" t="s">
        <v>31</v>
      </c>
      <c r="AA31" s="11" t="s">
        <v>32</v>
      </c>
      <c r="AB31" s="12">
        <f t="shared" si="1"/>
        <v>0.14032239999999999</v>
      </c>
    </row>
    <row r="32" spans="1:28" s="4" customFormat="1" ht="13" x14ac:dyDescent="0.3">
      <c r="A32" s="5">
        <v>76</v>
      </c>
      <c r="B32" s="6" t="s">
        <v>131</v>
      </c>
      <c r="C32" s="7">
        <v>43664</v>
      </c>
      <c r="D32" s="8">
        <v>2</v>
      </c>
      <c r="E32" s="9" t="s">
        <v>46</v>
      </c>
      <c r="F32" s="8" t="s">
        <v>104</v>
      </c>
      <c r="G32" s="11" t="s">
        <v>103</v>
      </c>
      <c r="H32" s="8" t="str">
        <f>"000092"</f>
        <v>000092</v>
      </c>
      <c r="I32" s="7">
        <v>43098</v>
      </c>
      <c r="J32" s="8" t="str">
        <f>"000019"</f>
        <v>000019</v>
      </c>
      <c r="K32" s="7">
        <v>43278</v>
      </c>
      <c r="L32" s="8" t="str">
        <f>"000027"</f>
        <v>000027</v>
      </c>
      <c r="M32" s="7">
        <v>43286</v>
      </c>
      <c r="N32" s="8">
        <v>17</v>
      </c>
      <c r="O32" s="8" t="str">
        <f>"003472"</f>
        <v>003472</v>
      </c>
      <c r="P32" s="7">
        <v>43662</v>
      </c>
      <c r="Q32" s="12">
        <v>1.9892399999999999</v>
      </c>
      <c r="R32" s="12">
        <v>8.1559999999999994E-2</v>
      </c>
      <c r="S32" s="12">
        <v>1.90768</v>
      </c>
      <c r="T32" s="8">
        <v>116</v>
      </c>
      <c r="U32" s="7">
        <v>43664</v>
      </c>
      <c r="V32" s="8">
        <v>9591979507</v>
      </c>
      <c r="W32" s="11" t="s">
        <v>102</v>
      </c>
      <c r="X32" s="8" t="s">
        <v>29</v>
      </c>
      <c r="Y32" s="11" t="s">
        <v>30</v>
      </c>
      <c r="Z32" s="8" t="s">
        <v>31</v>
      </c>
      <c r="AA32" s="11" t="s">
        <v>32</v>
      </c>
      <c r="AB32" s="12">
        <f t="shared" si="1"/>
        <v>1.9892399999999998E-2</v>
      </c>
    </row>
    <row r="33" spans="1:28" s="4" customFormat="1" ht="13" x14ac:dyDescent="0.3">
      <c r="A33" s="5">
        <v>77</v>
      </c>
      <c r="B33" s="6" t="s">
        <v>131</v>
      </c>
      <c r="C33" s="7">
        <v>43664</v>
      </c>
      <c r="D33" s="8">
        <v>2</v>
      </c>
      <c r="E33" s="9" t="s">
        <v>46</v>
      </c>
      <c r="F33" s="8" t="s">
        <v>101</v>
      </c>
      <c r="G33" s="11" t="s">
        <v>100</v>
      </c>
      <c r="H33" s="8" t="str">
        <f>"000088"</f>
        <v>000088</v>
      </c>
      <c r="I33" s="7">
        <v>43095</v>
      </c>
      <c r="J33" s="8" t="str">
        <f>"000018"</f>
        <v>000018</v>
      </c>
      <c r="K33" s="7">
        <v>43278</v>
      </c>
      <c r="L33" s="8" t="str">
        <f>"000028"</f>
        <v>000028</v>
      </c>
      <c r="M33" s="7">
        <v>43286</v>
      </c>
      <c r="N33" s="8">
        <v>17</v>
      </c>
      <c r="O33" s="8" t="str">
        <f>"003473"</f>
        <v>003473</v>
      </c>
      <c r="P33" s="7">
        <v>43662</v>
      </c>
      <c r="Q33" s="12">
        <v>5.8464400000000003</v>
      </c>
      <c r="R33" s="12">
        <v>0.23968999999999999</v>
      </c>
      <c r="S33" s="12">
        <v>5.6067499999999999</v>
      </c>
      <c r="T33" s="8">
        <v>116</v>
      </c>
      <c r="U33" s="7">
        <v>43664</v>
      </c>
      <c r="V33" s="8">
        <v>9591979507</v>
      </c>
      <c r="W33" s="11" t="s">
        <v>94</v>
      </c>
      <c r="X33" s="8" t="s">
        <v>29</v>
      </c>
      <c r="Y33" s="11" t="s">
        <v>30</v>
      </c>
      <c r="Z33" s="8" t="s">
        <v>31</v>
      </c>
      <c r="AA33" s="11" t="s">
        <v>32</v>
      </c>
      <c r="AB33" s="12">
        <f t="shared" si="1"/>
        <v>5.84644E-2</v>
      </c>
    </row>
    <row r="34" spans="1:28" s="4" customFormat="1" ht="13" x14ac:dyDescent="0.3">
      <c r="A34" s="5">
        <v>78</v>
      </c>
      <c r="B34" s="6" t="s">
        <v>131</v>
      </c>
      <c r="C34" s="7">
        <v>43665</v>
      </c>
      <c r="D34" s="8">
        <v>2</v>
      </c>
      <c r="E34" s="9" t="s">
        <v>46</v>
      </c>
      <c r="F34" s="8" t="s">
        <v>155</v>
      </c>
      <c r="G34" s="11" t="s">
        <v>154</v>
      </c>
      <c r="H34" s="8" t="str">
        <f>"000050"</f>
        <v>000050</v>
      </c>
      <c r="I34" s="7">
        <v>43651</v>
      </c>
      <c r="J34" s="8" t="str">
        <f>"000012"</f>
        <v>000012</v>
      </c>
      <c r="K34" s="7">
        <v>43651</v>
      </c>
      <c r="L34" s="8" t="str">
        <f>"000023"</f>
        <v>000023</v>
      </c>
      <c r="M34" s="7">
        <v>43655</v>
      </c>
      <c r="N34" s="8">
        <v>19</v>
      </c>
      <c r="O34" s="8" t="str">
        <f>"003579"</f>
        <v>003579</v>
      </c>
      <c r="P34" s="7">
        <v>43663</v>
      </c>
      <c r="Q34" s="12">
        <v>99.502690000000001</v>
      </c>
      <c r="R34" s="12">
        <v>4.4815800000000001</v>
      </c>
      <c r="S34" s="12">
        <v>95.021109999999993</v>
      </c>
      <c r="T34" s="8">
        <v>117</v>
      </c>
      <c r="U34" s="7">
        <v>43665</v>
      </c>
      <c r="V34" s="8">
        <v>9341705164</v>
      </c>
      <c r="W34" s="11" t="s">
        <v>153</v>
      </c>
      <c r="X34" s="8" t="s">
        <v>152</v>
      </c>
      <c r="Y34" s="11" t="s">
        <v>151</v>
      </c>
      <c r="Z34" s="8" t="s">
        <v>31</v>
      </c>
      <c r="AA34" s="11" t="s">
        <v>32</v>
      </c>
      <c r="AB34" s="12">
        <f t="shared" si="1"/>
        <v>0.99502690000000005</v>
      </c>
    </row>
    <row r="35" spans="1:28" s="4" customFormat="1" ht="13" x14ac:dyDescent="0.3">
      <c r="A35" s="5">
        <v>79</v>
      </c>
      <c r="B35" s="6" t="s">
        <v>131</v>
      </c>
      <c r="C35" s="7">
        <v>43668</v>
      </c>
      <c r="D35" s="8">
        <v>2</v>
      </c>
      <c r="E35" s="9" t="s">
        <v>46</v>
      </c>
      <c r="F35" s="8" t="s">
        <v>150</v>
      </c>
      <c r="G35" s="11" t="s">
        <v>149</v>
      </c>
      <c r="H35" s="8" t="str">
        <f>"000134"</f>
        <v>000134</v>
      </c>
      <c r="I35" s="7">
        <v>43531</v>
      </c>
      <c r="J35" s="8" t="str">
        <f>"000005"</f>
        <v>000005</v>
      </c>
      <c r="K35" s="7">
        <v>43613</v>
      </c>
      <c r="L35" s="8" t="str">
        <f>"000015"</f>
        <v>000015</v>
      </c>
      <c r="M35" s="7">
        <v>43619</v>
      </c>
      <c r="N35" s="8">
        <v>19</v>
      </c>
      <c r="O35" s="8" t="str">
        <f>"003390"</f>
        <v>003390</v>
      </c>
      <c r="P35" s="7">
        <v>43657</v>
      </c>
      <c r="Q35" s="12">
        <v>14.009790000000001</v>
      </c>
      <c r="R35" s="12">
        <v>0.65427000000000002</v>
      </c>
      <c r="S35" s="12">
        <v>13.35552</v>
      </c>
      <c r="T35" s="8">
        <v>119</v>
      </c>
      <c r="U35" s="7">
        <v>43668</v>
      </c>
      <c r="V35" s="8">
        <v>9611118200</v>
      </c>
      <c r="W35" s="11" t="s">
        <v>148</v>
      </c>
      <c r="X35" s="8" t="s">
        <v>147</v>
      </c>
      <c r="Y35" s="11" t="s">
        <v>146</v>
      </c>
      <c r="Z35" s="8" t="s">
        <v>31</v>
      </c>
      <c r="AA35" s="11" t="s">
        <v>32</v>
      </c>
      <c r="AB35" s="12">
        <f t="shared" si="1"/>
        <v>0.1400979</v>
      </c>
    </row>
    <row r="36" spans="1:28" s="4" customFormat="1" ht="13" x14ac:dyDescent="0.3">
      <c r="A36" s="5">
        <v>80</v>
      </c>
      <c r="B36" s="6" t="s">
        <v>131</v>
      </c>
      <c r="C36" s="7">
        <v>43668</v>
      </c>
      <c r="D36" s="8">
        <v>2</v>
      </c>
      <c r="E36" s="9" t="s">
        <v>46</v>
      </c>
      <c r="F36" s="8" t="s">
        <v>145</v>
      </c>
      <c r="G36" s="11" t="s">
        <v>144</v>
      </c>
      <c r="H36" s="8" t="str">
        <f>"000141"</f>
        <v>000141</v>
      </c>
      <c r="I36" s="7">
        <v>43531</v>
      </c>
      <c r="J36" s="8" t="str">
        <f>"000007"</f>
        <v>000007</v>
      </c>
      <c r="K36" s="7">
        <v>43627</v>
      </c>
      <c r="L36" s="8" t="str">
        <f>"000016"</f>
        <v>000016</v>
      </c>
      <c r="M36" s="7">
        <v>43628</v>
      </c>
      <c r="N36" s="8">
        <v>19</v>
      </c>
      <c r="O36" s="8" t="str">
        <f>"003398"</f>
        <v>003398</v>
      </c>
      <c r="P36" s="7">
        <v>43657</v>
      </c>
      <c r="Q36" s="12">
        <v>42.191949999999999</v>
      </c>
      <c r="R36" s="12">
        <v>2.1032500000000001</v>
      </c>
      <c r="S36" s="12">
        <v>40.088700000000003</v>
      </c>
      <c r="T36" s="8">
        <v>119</v>
      </c>
      <c r="U36" s="7">
        <v>43668</v>
      </c>
      <c r="V36" s="8">
        <v>9611118200</v>
      </c>
      <c r="W36" s="11" t="s">
        <v>143</v>
      </c>
      <c r="X36" s="8" t="s">
        <v>142</v>
      </c>
      <c r="Y36" s="11" t="s">
        <v>141</v>
      </c>
      <c r="Z36" s="8" t="s">
        <v>31</v>
      </c>
      <c r="AA36" s="11" t="s">
        <v>32</v>
      </c>
      <c r="AB36" s="12">
        <f t="shared" si="1"/>
        <v>0.4219195</v>
      </c>
    </row>
    <row r="37" spans="1:28" s="4" customFormat="1" ht="13" x14ac:dyDescent="0.3">
      <c r="A37" s="5">
        <v>81</v>
      </c>
      <c r="B37" s="6" t="s">
        <v>131</v>
      </c>
      <c r="C37" s="7">
        <v>43669</v>
      </c>
      <c r="D37" s="8">
        <v>2</v>
      </c>
      <c r="E37" s="9" t="s">
        <v>46</v>
      </c>
      <c r="F37" s="8" t="s">
        <v>140</v>
      </c>
      <c r="G37" s="11" t="s">
        <v>139</v>
      </c>
      <c r="H37" s="8" t="str">
        <f>"000107"</f>
        <v>000107</v>
      </c>
      <c r="I37" s="7">
        <v>43137</v>
      </c>
      <c r="J37" s="8" t="str">
        <f>"000055"</f>
        <v>000055</v>
      </c>
      <c r="K37" s="7">
        <v>43139</v>
      </c>
      <c r="L37" s="8" t="str">
        <f>"000074"</f>
        <v>000074</v>
      </c>
      <c r="M37" s="7">
        <v>43145</v>
      </c>
      <c r="N37" s="8">
        <v>17</v>
      </c>
      <c r="O37" s="8" t="str">
        <f>"003684"</f>
        <v>003684</v>
      </c>
      <c r="P37" s="7">
        <v>43664</v>
      </c>
      <c r="Q37" s="12">
        <v>9.4616299999999995</v>
      </c>
      <c r="R37" s="12">
        <v>0.56423999999999996</v>
      </c>
      <c r="S37" s="12">
        <v>8.8973899999999997</v>
      </c>
      <c r="T37" s="8">
        <v>122</v>
      </c>
      <c r="U37" s="7">
        <v>43669</v>
      </c>
      <c r="V37" s="8">
        <v>9845219426</v>
      </c>
      <c r="W37" s="11" t="s">
        <v>138</v>
      </c>
      <c r="X37" s="8" t="s">
        <v>38</v>
      </c>
      <c r="Y37" s="11" t="s">
        <v>39</v>
      </c>
      <c r="Z37" s="8" t="s">
        <v>31</v>
      </c>
      <c r="AA37" s="11" t="s">
        <v>32</v>
      </c>
      <c r="AB37" s="12">
        <f t="shared" si="1"/>
        <v>9.46163E-2</v>
      </c>
    </row>
    <row r="38" spans="1:28" s="4" customFormat="1" ht="13" x14ac:dyDescent="0.3">
      <c r="A38" s="5">
        <v>82</v>
      </c>
      <c r="B38" s="6" t="s">
        <v>131</v>
      </c>
      <c r="C38" s="7">
        <v>43669</v>
      </c>
      <c r="D38" s="8">
        <v>2</v>
      </c>
      <c r="E38" s="9" t="s">
        <v>46</v>
      </c>
      <c r="F38" s="8" t="s">
        <v>137</v>
      </c>
      <c r="G38" s="11" t="s">
        <v>136</v>
      </c>
      <c r="H38" s="8" t="str">
        <f>"000106"</f>
        <v>000106</v>
      </c>
      <c r="I38" s="7">
        <v>43137</v>
      </c>
      <c r="J38" s="8" t="str">
        <f>"000054"</f>
        <v>000054</v>
      </c>
      <c r="K38" s="7">
        <v>43139</v>
      </c>
      <c r="L38" s="8" t="str">
        <f>"000075"</f>
        <v>000075</v>
      </c>
      <c r="M38" s="7">
        <v>43145</v>
      </c>
      <c r="N38" s="8">
        <v>17</v>
      </c>
      <c r="O38" s="8" t="str">
        <f>"003685"</f>
        <v>003685</v>
      </c>
      <c r="P38" s="7">
        <v>43664</v>
      </c>
      <c r="Q38" s="12">
        <v>9.60609</v>
      </c>
      <c r="R38" s="12">
        <v>0.49545</v>
      </c>
      <c r="S38" s="12">
        <v>9.1106400000000001</v>
      </c>
      <c r="T38" s="8">
        <v>122</v>
      </c>
      <c r="U38" s="7">
        <v>43669</v>
      </c>
      <c r="V38" s="8">
        <v>9845668254</v>
      </c>
      <c r="W38" s="11" t="s">
        <v>135</v>
      </c>
      <c r="X38" s="8" t="s">
        <v>38</v>
      </c>
      <c r="Y38" s="11" t="s">
        <v>39</v>
      </c>
      <c r="Z38" s="8" t="s">
        <v>31</v>
      </c>
      <c r="AA38" s="11" t="s">
        <v>32</v>
      </c>
      <c r="AB38" s="12">
        <f t="shared" si="1"/>
        <v>9.6060900000000005E-2</v>
      </c>
    </row>
    <row r="39" spans="1:28" s="4" customFormat="1" ht="13" x14ac:dyDescent="0.3">
      <c r="A39" s="5">
        <v>83</v>
      </c>
      <c r="B39" s="6" t="s">
        <v>131</v>
      </c>
      <c r="C39" s="7">
        <v>43669</v>
      </c>
      <c r="D39" s="8">
        <v>2</v>
      </c>
      <c r="E39" s="9" t="s">
        <v>46</v>
      </c>
      <c r="F39" s="8" t="s">
        <v>134</v>
      </c>
      <c r="G39" s="11" t="s">
        <v>133</v>
      </c>
      <c r="H39" s="8" t="str">
        <f>"000085"</f>
        <v>000085</v>
      </c>
      <c r="I39" s="7">
        <v>43092</v>
      </c>
      <c r="J39" s="8" t="str">
        <f>"000042"</f>
        <v>000042</v>
      </c>
      <c r="K39" s="7">
        <v>43129</v>
      </c>
      <c r="L39" s="8" t="str">
        <f>"000082"</f>
        <v>000082</v>
      </c>
      <c r="M39" s="7">
        <v>43147</v>
      </c>
      <c r="N39" s="8">
        <v>17</v>
      </c>
      <c r="O39" s="8" t="str">
        <f>"003687"</f>
        <v>003687</v>
      </c>
      <c r="P39" s="7">
        <v>43664</v>
      </c>
      <c r="Q39" s="12">
        <v>1.9970000000000001</v>
      </c>
      <c r="R39" s="12">
        <v>8.1879999999999994E-2</v>
      </c>
      <c r="S39" s="12">
        <v>1.9151199999999999</v>
      </c>
      <c r="T39" s="8">
        <v>122</v>
      </c>
      <c r="U39" s="7">
        <v>43669</v>
      </c>
      <c r="V39" s="8">
        <v>9591979507</v>
      </c>
      <c r="W39" s="11" t="s">
        <v>132</v>
      </c>
      <c r="X39" s="8" t="s">
        <v>38</v>
      </c>
      <c r="Y39" s="11" t="s">
        <v>39</v>
      </c>
      <c r="Z39" s="8" t="s">
        <v>31</v>
      </c>
      <c r="AA39" s="11" t="s">
        <v>32</v>
      </c>
      <c r="AB39" s="12">
        <f t="shared" si="1"/>
        <v>1.9970000000000002E-2</v>
      </c>
    </row>
    <row r="40" spans="1:28" s="4" customFormat="1" ht="13" x14ac:dyDescent="0.3">
      <c r="A40" s="5">
        <v>84</v>
      </c>
      <c r="B40" s="6" t="s">
        <v>131</v>
      </c>
      <c r="C40" s="7">
        <v>43677</v>
      </c>
      <c r="D40" s="8">
        <v>2</v>
      </c>
      <c r="E40" s="9" t="s">
        <v>46</v>
      </c>
      <c r="F40" s="8" t="s">
        <v>130</v>
      </c>
      <c r="G40" s="11" t="s">
        <v>129</v>
      </c>
      <c r="H40" s="8" t="str">
        <f>"000041"</f>
        <v>000041</v>
      </c>
      <c r="I40" s="7">
        <v>43033</v>
      </c>
      <c r="J40" s="8" t="str">
        <f>"000031"</f>
        <v>000031</v>
      </c>
      <c r="K40" s="7">
        <v>43090</v>
      </c>
      <c r="L40" s="8" t="str">
        <f>"000086"</f>
        <v>000086</v>
      </c>
      <c r="M40" s="7">
        <v>43153</v>
      </c>
      <c r="N40" s="8">
        <v>17</v>
      </c>
      <c r="O40" s="8" t="str">
        <f>"004032"</f>
        <v>004032</v>
      </c>
      <c r="P40" s="7">
        <v>43672</v>
      </c>
      <c r="Q40" s="12">
        <v>2.9875400000000001</v>
      </c>
      <c r="R40" s="12">
        <v>0.27189000000000002</v>
      </c>
      <c r="S40" s="12">
        <v>2.7156500000000001</v>
      </c>
      <c r="T40" s="8">
        <v>135</v>
      </c>
      <c r="U40" s="7">
        <v>43677</v>
      </c>
      <c r="V40" s="8">
        <v>9591979507</v>
      </c>
      <c r="W40" s="11" t="s">
        <v>128</v>
      </c>
      <c r="X40" s="8" t="s">
        <v>38</v>
      </c>
      <c r="Y40" s="11" t="s">
        <v>39</v>
      </c>
      <c r="Z40" s="8" t="s">
        <v>31</v>
      </c>
      <c r="AA40" s="11" t="s">
        <v>32</v>
      </c>
      <c r="AB40" s="12">
        <f t="shared" si="1"/>
        <v>2.98754E-2</v>
      </c>
    </row>
    <row r="41" spans="1:28" s="4" customFormat="1" ht="13" x14ac:dyDescent="0.3">
      <c r="A41" s="5">
        <v>85</v>
      </c>
      <c r="B41" s="6" t="s">
        <v>124</v>
      </c>
      <c r="C41" s="7">
        <v>43685</v>
      </c>
      <c r="D41" s="8">
        <v>2</v>
      </c>
      <c r="E41" s="9" t="s">
        <v>46</v>
      </c>
      <c r="F41" s="8" t="s">
        <v>127</v>
      </c>
      <c r="G41" s="11" t="s">
        <v>126</v>
      </c>
      <c r="H41" s="8" t="str">
        <f>"000131"</f>
        <v>000131</v>
      </c>
      <c r="I41" s="7">
        <v>43182</v>
      </c>
      <c r="J41" s="8" t="str">
        <f>"000023"</f>
        <v>000023</v>
      </c>
      <c r="K41" s="7">
        <v>43301</v>
      </c>
      <c r="L41" s="8" t="str">
        <f>"000036"</f>
        <v>000036</v>
      </c>
      <c r="M41" s="7">
        <v>43311</v>
      </c>
      <c r="N41" s="8">
        <v>18</v>
      </c>
      <c r="O41" s="8" t="str">
        <f>"004272"</f>
        <v>004272</v>
      </c>
      <c r="P41" s="7">
        <v>43680</v>
      </c>
      <c r="Q41" s="12">
        <v>28.797129999999999</v>
      </c>
      <c r="R41" s="12">
        <v>1.3088200000000001</v>
      </c>
      <c r="S41" s="12">
        <v>27.488309999999998</v>
      </c>
      <c r="T41" s="8">
        <v>145</v>
      </c>
      <c r="U41" s="7">
        <v>43685</v>
      </c>
      <c r="V41" s="8">
        <v>9845583321</v>
      </c>
      <c r="W41" s="11" t="s">
        <v>125</v>
      </c>
      <c r="X41" s="8" t="s">
        <v>120</v>
      </c>
      <c r="Y41" s="11" t="s">
        <v>119</v>
      </c>
      <c r="Z41" s="8" t="s">
        <v>31</v>
      </c>
      <c r="AA41" s="11" t="s">
        <v>32</v>
      </c>
      <c r="AB41" s="12">
        <f t="shared" si="1"/>
        <v>0.28797129999999999</v>
      </c>
    </row>
    <row r="42" spans="1:28" s="4" customFormat="1" ht="13" x14ac:dyDescent="0.3">
      <c r="A42" s="5">
        <v>86</v>
      </c>
      <c r="B42" s="6" t="s">
        <v>124</v>
      </c>
      <c r="C42" s="7">
        <v>43685</v>
      </c>
      <c r="D42" s="8">
        <v>2</v>
      </c>
      <c r="E42" s="9" t="s">
        <v>46</v>
      </c>
      <c r="F42" s="8" t="s">
        <v>123</v>
      </c>
      <c r="G42" s="11" t="s">
        <v>122</v>
      </c>
      <c r="H42" s="8" t="str">
        <f>"000132"</f>
        <v>000132</v>
      </c>
      <c r="I42" s="7">
        <v>43182</v>
      </c>
      <c r="J42" s="8" t="str">
        <f>"000024"</f>
        <v>000024</v>
      </c>
      <c r="K42" s="7">
        <v>43301</v>
      </c>
      <c r="L42" s="8" t="str">
        <f>"000037"</f>
        <v>000037</v>
      </c>
      <c r="M42" s="7">
        <v>43311</v>
      </c>
      <c r="N42" s="8">
        <v>18</v>
      </c>
      <c r="O42" s="8" t="str">
        <f>"004274"</f>
        <v>004274</v>
      </c>
      <c r="P42" s="7">
        <v>43680</v>
      </c>
      <c r="Q42" s="12">
        <v>49.439169999999997</v>
      </c>
      <c r="R42" s="12">
        <v>2.1852</v>
      </c>
      <c r="S42" s="12">
        <v>47.253970000000002</v>
      </c>
      <c r="T42" s="8">
        <v>145</v>
      </c>
      <c r="U42" s="7">
        <v>43685</v>
      </c>
      <c r="V42" s="8">
        <v>9845583321</v>
      </c>
      <c r="W42" s="11" t="s">
        <v>121</v>
      </c>
      <c r="X42" s="8" t="s">
        <v>120</v>
      </c>
      <c r="Y42" s="11" t="s">
        <v>119</v>
      </c>
      <c r="Z42" s="8" t="s">
        <v>31</v>
      </c>
      <c r="AA42" s="11" t="s">
        <v>32</v>
      </c>
      <c r="AB42" s="12">
        <f t="shared" si="1"/>
        <v>0.49439169999999999</v>
      </c>
    </row>
    <row r="43" spans="1:28" s="4" customFormat="1" ht="13" x14ac:dyDescent="0.3">
      <c r="A43" s="5">
        <v>87</v>
      </c>
      <c r="B43" s="6" t="s">
        <v>113</v>
      </c>
      <c r="C43" s="7">
        <v>43717</v>
      </c>
      <c r="D43" s="8">
        <v>2</v>
      </c>
      <c r="E43" s="9" t="s">
        <v>46</v>
      </c>
      <c r="F43" s="8" t="s">
        <v>118</v>
      </c>
      <c r="G43" s="11" t="s">
        <v>117</v>
      </c>
      <c r="H43" s="8" t="str">
        <f>"000140"</f>
        <v>000140</v>
      </c>
      <c r="I43" s="7">
        <v>43531</v>
      </c>
      <c r="J43" s="8" t="str">
        <f>"000014"</f>
        <v>000014</v>
      </c>
      <c r="K43" s="7">
        <v>43658</v>
      </c>
      <c r="L43" s="8" t="str">
        <f>"000029"</f>
        <v>000029</v>
      </c>
      <c r="M43" s="7">
        <v>43662</v>
      </c>
      <c r="N43" s="8">
        <v>19</v>
      </c>
      <c r="O43" s="8" t="str">
        <f>"004805"</f>
        <v>004805</v>
      </c>
      <c r="P43" s="7">
        <v>43704</v>
      </c>
      <c r="Q43" s="12">
        <v>42.150399999999998</v>
      </c>
      <c r="R43" s="12">
        <v>2.2367400000000002</v>
      </c>
      <c r="S43" s="12">
        <v>39.91366</v>
      </c>
      <c r="T43" s="8">
        <v>178</v>
      </c>
      <c r="U43" s="7">
        <v>43717</v>
      </c>
      <c r="V43" s="8">
        <v>9845507797</v>
      </c>
      <c r="W43" s="11" t="s">
        <v>116</v>
      </c>
      <c r="X43" s="8" t="s">
        <v>115</v>
      </c>
      <c r="Y43" s="11" t="s">
        <v>114</v>
      </c>
      <c r="Z43" s="8" t="s">
        <v>31</v>
      </c>
      <c r="AA43" s="11" t="s">
        <v>32</v>
      </c>
      <c r="AB43" s="12">
        <f t="shared" si="1"/>
        <v>0.42150399999999999</v>
      </c>
    </row>
    <row r="44" spans="1:28" s="4" customFormat="1" ht="13" x14ac:dyDescent="0.3">
      <c r="A44" s="5">
        <v>88</v>
      </c>
      <c r="B44" s="6" t="s">
        <v>113</v>
      </c>
      <c r="C44" s="7">
        <v>43726</v>
      </c>
      <c r="D44" s="8">
        <v>2</v>
      </c>
      <c r="E44" s="9" t="s">
        <v>46</v>
      </c>
      <c r="F44" s="8" t="s">
        <v>112</v>
      </c>
      <c r="G44" s="11" t="s">
        <v>111</v>
      </c>
      <c r="H44" s="8" t="str">
        <f>"000139"</f>
        <v>000139</v>
      </c>
      <c r="I44" s="7">
        <v>43531</v>
      </c>
      <c r="J44" s="8" t="str">
        <f>"000026"</f>
        <v>000026</v>
      </c>
      <c r="K44" s="7">
        <v>43680</v>
      </c>
      <c r="L44" s="8" t="str">
        <f>"000043"</f>
        <v>000043</v>
      </c>
      <c r="M44" s="7">
        <v>43690</v>
      </c>
      <c r="N44" s="8">
        <v>19</v>
      </c>
      <c r="O44" s="8" t="str">
        <f>"005043"</f>
        <v>005043</v>
      </c>
      <c r="P44" s="7">
        <v>43720</v>
      </c>
      <c r="Q44" s="12">
        <v>42.172310000000003</v>
      </c>
      <c r="R44" s="12">
        <v>1.87565</v>
      </c>
      <c r="S44" s="12">
        <v>40.296660000000003</v>
      </c>
      <c r="T44" s="8">
        <v>191</v>
      </c>
      <c r="U44" s="7">
        <v>43726</v>
      </c>
      <c r="V44" s="8">
        <v>9611118200</v>
      </c>
      <c r="W44" s="11" t="s">
        <v>110</v>
      </c>
      <c r="X44" s="8" t="s">
        <v>109</v>
      </c>
      <c r="Y44" s="11" t="s">
        <v>108</v>
      </c>
      <c r="Z44" s="8" t="s">
        <v>31</v>
      </c>
      <c r="AA44" s="11" t="s">
        <v>32</v>
      </c>
      <c r="AB44" s="12">
        <f t="shared" si="1"/>
        <v>0.42172310000000002</v>
      </c>
    </row>
    <row r="45" spans="1:28" s="4" customFormat="1" ht="13" x14ac:dyDescent="0.3">
      <c r="A45" s="5">
        <v>89</v>
      </c>
      <c r="B45" s="6" t="s">
        <v>172</v>
      </c>
      <c r="C45" s="7">
        <v>43748</v>
      </c>
      <c r="D45" s="5">
        <v>2</v>
      </c>
      <c r="E45" s="9" t="s">
        <v>46</v>
      </c>
      <c r="F45" s="8" t="s">
        <v>51</v>
      </c>
      <c r="G45" s="9" t="s">
        <v>50</v>
      </c>
      <c r="H45" s="8" t="str">
        <f>"000032"</f>
        <v>000032</v>
      </c>
      <c r="I45" s="7">
        <v>42772</v>
      </c>
      <c r="J45" s="8" t="str">
        <f>"000016"</f>
        <v>000016</v>
      </c>
      <c r="K45" s="7">
        <v>43224</v>
      </c>
      <c r="L45" s="8" t="str">
        <f>"000016"</f>
        <v>000016</v>
      </c>
      <c r="M45" s="7">
        <v>43224</v>
      </c>
      <c r="N45" s="8">
        <v>16</v>
      </c>
      <c r="O45" s="8" t="str">
        <f>"000341"</f>
        <v>000341</v>
      </c>
      <c r="P45" s="7">
        <v>43566</v>
      </c>
      <c r="Q45" s="10">
        <v>6.1814</v>
      </c>
      <c r="R45" s="10">
        <v>0.81089999999999995</v>
      </c>
      <c r="S45" s="10">
        <v>5.3704999999999998</v>
      </c>
      <c r="T45" s="8">
        <v>13</v>
      </c>
      <c r="U45" s="7">
        <v>43748</v>
      </c>
      <c r="V45" s="8">
        <v>9880158718</v>
      </c>
      <c r="W45" s="9" t="s">
        <v>49</v>
      </c>
      <c r="X45" s="8" t="s">
        <v>33</v>
      </c>
      <c r="Y45" s="9" t="s">
        <v>34</v>
      </c>
      <c r="Z45" s="8" t="s">
        <v>35</v>
      </c>
      <c r="AA45" s="9" t="s">
        <v>36</v>
      </c>
      <c r="AB45" s="10">
        <v>6.1814000000000001E-2</v>
      </c>
    </row>
    <row r="46" spans="1:28" s="4" customFormat="1" ht="13" x14ac:dyDescent="0.3">
      <c r="A46" s="5">
        <v>90</v>
      </c>
      <c r="B46" s="6" t="s">
        <v>172</v>
      </c>
      <c r="C46" s="7">
        <v>43752</v>
      </c>
      <c r="D46" s="5">
        <v>2</v>
      </c>
      <c r="E46" s="9" t="s">
        <v>46</v>
      </c>
      <c r="F46" s="8" t="s">
        <v>173</v>
      </c>
      <c r="G46" s="9" t="s">
        <v>174</v>
      </c>
      <c r="H46" s="8" t="str">
        <f>"000132"</f>
        <v>000132</v>
      </c>
      <c r="I46" s="7">
        <v>43531</v>
      </c>
      <c r="J46" s="8" t="str">
        <f>"000032"</f>
        <v>000032</v>
      </c>
      <c r="K46" s="7">
        <v>43708</v>
      </c>
      <c r="L46" s="8" t="str">
        <f>"000032"</f>
        <v>000032</v>
      </c>
      <c r="M46" s="7">
        <v>43708</v>
      </c>
      <c r="N46" s="8">
        <v>19</v>
      </c>
      <c r="O46" s="8" t="str">
        <f>"005708"</f>
        <v>005708</v>
      </c>
      <c r="P46" s="7">
        <v>43748</v>
      </c>
      <c r="Q46" s="10">
        <v>28.12799</v>
      </c>
      <c r="R46" s="10">
        <v>1.14297</v>
      </c>
      <c r="S46" s="10">
        <v>26.985019999999999</v>
      </c>
      <c r="T46" s="8">
        <v>13</v>
      </c>
      <c r="U46" s="7">
        <v>43752</v>
      </c>
      <c r="V46" s="8">
        <v>9972568979</v>
      </c>
      <c r="W46" s="9" t="s">
        <v>175</v>
      </c>
      <c r="X46" s="8" t="s">
        <v>176</v>
      </c>
      <c r="Y46" s="9" t="s">
        <v>177</v>
      </c>
      <c r="Z46" s="8" t="s">
        <v>35</v>
      </c>
      <c r="AA46" s="9" t="s">
        <v>36</v>
      </c>
      <c r="AB46" s="10">
        <v>0.28127990000000003</v>
      </c>
    </row>
    <row r="47" spans="1:28" s="4" customFormat="1" ht="13" x14ac:dyDescent="0.3">
      <c r="A47" s="5">
        <v>91</v>
      </c>
      <c r="B47" s="6" t="s">
        <v>178</v>
      </c>
      <c r="C47" s="7">
        <v>43790</v>
      </c>
      <c r="D47" s="5">
        <v>2</v>
      </c>
      <c r="E47" s="9" t="s">
        <v>46</v>
      </c>
      <c r="F47" s="8" t="s">
        <v>179</v>
      </c>
      <c r="G47" s="9" t="s">
        <v>180</v>
      </c>
      <c r="H47" s="8" t="str">
        <f>"000089"</f>
        <v>000089</v>
      </c>
      <c r="I47" s="7">
        <v>43665</v>
      </c>
      <c r="J47" s="8" t="str">
        <f>"000023"</f>
        <v>000023</v>
      </c>
      <c r="K47" s="7">
        <v>43669</v>
      </c>
      <c r="L47" s="8" t="str">
        <f>"000039"</f>
        <v>000039</v>
      </c>
      <c r="M47" s="7">
        <v>43680</v>
      </c>
      <c r="N47" s="8">
        <v>19</v>
      </c>
      <c r="O47" s="8" t="str">
        <f>"006282"</f>
        <v>006282</v>
      </c>
      <c r="P47" s="7">
        <v>43789</v>
      </c>
      <c r="Q47" s="10">
        <v>2.8</v>
      </c>
      <c r="R47" s="10">
        <v>0.28000000000000003</v>
      </c>
      <c r="S47" s="10">
        <v>2.52</v>
      </c>
      <c r="T47" s="8">
        <v>13</v>
      </c>
      <c r="U47" s="7">
        <v>43790</v>
      </c>
      <c r="V47" s="8">
        <v>9448353883</v>
      </c>
      <c r="W47" s="9" t="s">
        <v>181</v>
      </c>
      <c r="X47" s="8" t="s">
        <v>182</v>
      </c>
      <c r="Y47" s="9" t="s">
        <v>183</v>
      </c>
      <c r="Z47" s="8" t="s">
        <v>31</v>
      </c>
      <c r="AA47" s="9" t="s">
        <v>32</v>
      </c>
      <c r="AB47" s="10">
        <v>2.7999999999999997E-2</v>
      </c>
    </row>
    <row r="48" spans="1:28" s="4" customFormat="1" ht="13" x14ac:dyDescent="0.3">
      <c r="A48" s="5">
        <v>92</v>
      </c>
      <c r="B48" s="6" t="s">
        <v>184</v>
      </c>
      <c r="C48" s="7">
        <v>43805</v>
      </c>
      <c r="D48" s="5">
        <v>2</v>
      </c>
      <c r="E48" s="9" t="s">
        <v>46</v>
      </c>
      <c r="F48" s="8" t="s">
        <v>185</v>
      </c>
      <c r="G48" s="9" t="s">
        <v>186</v>
      </c>
      <c r="H48" s="8" t="str">
        <f>"000128"</f>
        <v>000128</v>
      </c>
      <c r="I48" s="7">
        <v>43175</v>
      </c>
      <c r="J48" s="8" t="str">
        <f>"000011"</f>
        <v>000011</v>
      </c>
      <c r="K48" s="7">
        <v>43242</v>
      </c>
      <c r="L48" s="8" t="str">
        <f>"000010"</f>
        <v>000010</v>
      </c>
      <c r="M48" s="7">
        <v>43245</v>
      </c>
      <c r="N48" s="8">
        <v>17</v>
      </c>
      <c r="O48" s="8" t="str">
        <f>"006534"</f>
        <v>006534</v>
      </c>
      <c r="P48" s="7">
        <v>43802</v>
      </c>
      <c r="Q48" s="10">
        <v>29.961690000000001</v>
      </c>
      <c r="R48" s="10">
        <v>3.2876300000000001</v>
      </c>
      <c r="S48" s="10">
        <v>26.674060000000001</v>
      </c>
      <c r="T48" s="8">
        <v>13</v>
      </c>
      <c r="U48" s="7">
        <v>43805</v>
      </c>
      <c r="V48" s="8">
        <v>9035609668</v>
      </c>
      <c r="W48" s="9" t="s">
        <v>43</v>
      </c>
      <c r="X48" s="8" t="s">
        <v>75</v>
      </c>
      <c r="Y48" s="9" t="s">
        <v>74</v>
      </c>
      <c r="Z48" s="8" t="s">
        <v>31</v>
      </c>
      <c r="AA48" s="9" t="s">
        <v>32</v>
      </c>
      <c r="AB48" s="10">
        <v>0.29961690000000002</v>
      </c>
    </row>
    <row r="49" spans="1:28" s="4" customFormat="1" ht="13" x14ac:dyDescent="0.3">
      <c r="A49" s="5">
        <v>93</v>
      </c>
      <c r="B49" s="6" t="s">
        <v>184</v>
      </c>
      <c r="C49" s="7">
        <v>43805</v>
      </c>
      <c r="D49" s="5">
        <v>2</v>
      </c>
      <c r="E49" s="9" t="s">
        <v>46</v>
      </c>
      <c r="F49" s="8" t="s">
        <v>187</v>
      </c>
      <c r="G49" s="9" t="s">
        <v>188</v>
      </c>
      <c r="H49" s="8" t="str">
        <f>"000127"</f>
        <v>000127</v>
      </c>
      <c r="I49" s="7">
        <v>43175</v>
      </c>
      <c r="J49" s="8" t="str">
        <f>"000010"</f>
        <v>000010</v>
      </c>
      <c r="K49" s="7">
        <v>43242</v>
      </c>
      <c r="L49" s="8" t="str">
        <f>"000011"</f>
        <v>000011</v>
      </c>
      <c r="M49" s="7">
        <v>43245</v>
      </c>
      <c r="N49" s="8">
        <v>17</v>
      </c>
      <c r="O49" s="8" t="str">
        <f>"006536"</f>
        <v>006536</v>
      </c>
      <c r="P49" s="7">
        <v>43802</v>
      </c>
      <c r="Q49" s="10">
        <v>34.922820000000002</v>
      </c>
      <c r="R49" s="10">
        <v>3.8002799999999999</v>
      </c>
      <c r="S49" s="10">
        <v>31.122540000000001</v>
      </c>
      <c r="T49" s="8">
        <v>13</v>
      </c>
      <c r="U49" s="7">
        <v>43805</v>
      </c>
      <c r="V49" s="8">
        <v>9035609668</v>
      </c>
      <c r="W49" s="9" t="s">
        <v>43</v>
      </c>
      <c r="X49" s="8" t="s">
        <v>75</v>
      </c>
      <c r="Y49" s="9" t="s">
        <v>74</v>
      </c>
      <c r="Z49" s="8" t="s">
        <v>31</v>
      </c>
      <c r="AA49" s="9" t="s">
        <v>32</v>
      </c>
      <c r="AB49" s="10">
        <v>0.34922819999999999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2020-01-28T11:14:00Z</dcterms:modified>
</cp:coreProperties>
</file>