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anjunath.hl\Desktop\BPR Q1 Q2 Q3\Contractor Bill Payment (Bill Register) Q1 Q2 Q3\"/>
    </mc:Choice>
  </mc:AlternateContent>
  <bookViews>
    <workbookView xWindow="0" yWindow="0" windowWidth="11790" windowHeight="5630"/>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60" i="1" l="1"/>
  <c r="L60" i="1"/>
  <c r="J60" i="1"/>
  <c r="H60" i="1"/>
  <c r="O59" i="1"/>
  <c r="L59" i="1"/>
  <c r="J59" i="1"/>
  <c r="H59" i="1"/>
  <c r="O58" i="1"/>
  <c r="L58" i="1"/>
  <c r="J58" i="1"/>
  <c r="H58" i="1"/>
  <c r="O57" i="1"/>
  <c r="L57" i="1"/>
  <c r="J57" i="1"/>
  <c r="H57" i="1"/>
  <c r="O56" i="1"/>
  <c r="L56" i="1"/>
  <c r="J56" i="1"/>
  <c r="H56" i="1"/>
  <c r="O55" i="1"/>
  <c r="L55" i="1"/>
  <c r="J55" i="1"/>
  <c r="H55" i="1"/>
  <c r="O54" i="1"/>
  <c r="L54" i="1"/>
  <c r="J54" i="1"/>
  <c r="H54" i="1"/>
  <c r="AB53" i="1"/>
  <c r="O53" i="1"/>
  <c r="L53" i="1"/>
  <c r="J53" i="1"/>
  <c r="H53" i="1"/>
  <c r="AB52" i="1"/>
  <c r="O52" i="1"/>
  <c r="L52" i="1"/>
  <c r="J52" i="1"/>
  <c r="H52" i="1"/>
  <c r="AB51" i="1"/>
  <c r="O51" i="1"/>
  <c r="L51" i="1"/>
  <c r="J51" i="1"/>
  <c r="H51" i="1"/>
  <c r="AB50" i="1"/>
  <c r="O50" i="1"/>
  <c r="L50" i="1"/>
  <c r="J50" i="1"/>
  <c r="H50" i="1"/>
  <c r="AB49" i="1"/>
  <c r="O49" i="1"/>
  <c r="L49" i="1"/>
  <c r="J49" i="1"/>
  <c r="H49" i="1"/>
  <c r="AB48" i="1"/>
  <c r="O48" i="1"/>
  <c r="L48" i="1"/>
  <c r="J48" i="1"/>
  <c r="H48" i="1"/>
  <c r="AB47" i="1"/>
  <c r="O47" i="1"/>
  <c r="L47" i="1"/>
  <c r="J47" i="1"/>
  <c r="H47" i="1"/>
  <c r="AB46" i="1"/>
  <c r="O46" i="1"/>
  <c r="L46" i="1"/>
  <c r="J46" i="1"/>
  <c r="H46" i="1"/>
  <c r="AB45" i="1"/>
  <c r="O45" i="1"/>
  <c r="L45" i="1"/>
  <c r="J45" i="1"/>
  <c r="H45" i="1"/>
  <c r="AB44" i="1"/>
  <c r="O44" i="1"/>
  <c r="L44" i="1"/>
  <c r="J44" i="1"/>
  <c r="H44" i="1"/>
  <c r="AB43" i="1"/>
  <c r="O43" i="1"/>
  <c r="L43" i="1"/>
  <c r="J43" i="1"/>
  <c r="H43" i="1"/>
  <c r="AB42" i="1"/>
  <c r="O42" i="1"/>
  <c r="L42" i="1"/>
  <c r="J42" i="1"/>
  <c r="H42" i="1"/>
  <c r="AB41" i="1"/>
  <c r="O41" i="1"/>
  <c r="L41" i="1"/>
  <c r="J41" i="1"/>
  <c r="H41" i="1"/>
  <c r="AB40" i="1"/>
  <c r="O40" i="1"/>
  <c r="L40" i="1"/>
  <c r="J40" i="1"/>
  <c r="H40" i="1"/>
  <c r="AB39" i="1"/>
  <c r="O39" i="1"/>
  <c r="L39" i="1"/>
  <c r="J39" i="1"/>
  <c r="H39" i="1"/>
  <c r="AB38" i="1"/>
  <c r="O38" i="1"/>
  <c r="L38" i="1"/>
  <c r="J38" i="1"/>
  <c r="H38" i="1"/>
  <c r="AB37" i="1"/>
  <c r="O37" i="1"/>
  <c r="L37" i="1"/>
  <c r="J37" i="1"/>
  <c r="H37" i="1"/>
  <c r="AB36" i="1"/>
  <c r="O36" i="1"/>
  <c r="L36" i="1"/>
  <c r="J36" i="1"/>
  <c r="H36" i="1"/>
  <c r="AB35" i="1"/>
  <c r="O35" i="1"/>
  <c r="L35" i="1"/>
  <c r="J35" i="1"/>
  <c r="H35" i="1"/>
  <c r="AB34" i="1"/>
  <c r="O34" i="1"/>
  <c r="L34" i="1"/>
  <c r="J34" i="1"/>
  <c r="H34" i="1"/>
  <c r="AB33" i="1"/>
  <c r="O33" i="1"/>
  <c r="L33" i="1"/>
  <c r="J33" i="1"/>
  <c r="H33" i="1"/>
  <c r="AB32" i="1"/>
  <c r="O32" i="1"/>
  <c r="L32" i="1"/>
  <c r="J32" i="1"/>
  <c r="H32" i="1"/>
  <c r="AB31" i="1"/>
  <c r="O31" i="1"/>
  <c r="L31" i="1"/>
  <c r="J31" i="1"/>
  <c r="H31" i="1"/>
  <c r="AB30" i="1"/>
  <c r="O30" i="1"/>
  <c r="L30" i="1"/>
  <c r="J30" i="1"/>
  <c r="H30" i="1"/>
  <c r="AB29" i="1"/>
  <c r="O29" i="1"/>
  <c r="L29" i="1"/>
  <c r="J29" i="1"/>
  <c r="H29" i="1"/>
  <c r="AB28" i="1"/>
  <c r="O28" i="1"/>
  <c r="L28" i="1"/>
  <c r="J28" i="1"/>
  <c r="H28" i="1"/>
  <c r="AB27" i="1"/>
  <c r="O27" i="1"/>
  <c r="L27" i="1"/>
  <c r="J27" i="1"/>
  <c r="H27" i="1"/>
  <c r="AB26" i="1"/>
  <c r="O26" i="1"/>
  <c r="L26" i="1"/>
  <c r="J26" i="1"/>
  <c r="H26" i="1"/>
  <c r="AB25" i="1"/>
  <c r="O25" i="1"/>
  <c r="L25" i="1"/>
  <c r="J25" i="1"/>
  <c r="H25" i="1"/>
  <c r="AB24" i="1"/>
  <c r="O24" i="1"/>
  <c r="L24" i="1"/>
  <c r="J24" i="1"/>
  <c r="H24" i="1"/>
  <c r="AB23" i="1"/>
  <c r="O23" i="1"/>
  <c r="L23" i="1"/>
  <c r="J23" i="1"/>
  <c r="H23" i="1"/>
  <c r="AB22" i="1"/>
  <c r="O22" i="1"/>
  <c r="L22" i="1"/>
  <c r="J22" i="1"/>
  <c r="H22" i="1"/>
  <c r="AB21" i="1"/>
  <c r="O21" i="1"/>
  <c r="L21" i="1"/>
  <c r="J21" i="1"/>
  <c r="H21" i="1"/>
  <c r="AB20" i="1"/>
  <c r="O20" i="1"/>
  <c r="L20" i="1"/>
  <c r="J20" i="1"/>
  <c r="H20" i="1"/>
  <c r="AB19" i="1"/>
  <c r="O19" i="1"/>
  <c r="L19" i="1"/>
  <c r="J19" i="1"/>
  <c r="H19" i="1"/>
  <c r="AB18" i="1"/>
  <c r="O18" i="1"/>
  <c r="L18" i="1"/>
  <c r="J18" i="1"/>
  <c r="H18" i="1"/>
  <c r="O17" i="1"/>
  <c r="L17" i="1"/>
  <c r="J17" i="1"/>
  <c r="H17" i="1"/>
  <c r="O16" i="1"/>
  <c r="L16" i="1"/>
  <c r="J16" i="1"/>
  <c r="H16" i="1"/>
  <c r="O15" i="1"/>
  <c r="L15" i="1"/>
  <c r="J15" i="1"/>
  <c r="H15" i="1"/>
  <c r="AB14" i="1"/>
  <c r="O14" i="1"/>
  <c r="L14" i="1"/>
  <c r="J14" i="1"/>
  <c r="H14" i="1"/>
  <c r="AB13" i="1"/>
  <c r="O13" i="1"/>
  <c r="L13" i="1"/>
  <c r="J13" i="1"/>
  <c r="H13" i="1"/>
  <c r="AB12" i="1"/>
  <c r="O12" i="1"/>
  <c r="L12" i="1"/>
  <c r="J12" i="1"/>
  <c r="H12" i="1"/>
  <c r="AB11" i="1"/>
  <c r="O11" i="1"/>
  <c r="L11" i="1"/>
  <c r="J11" i="1"/>
  <c r="H11" i="1"/>
  <c r="AB10" i="1"/>
  <c r="O10" i="1"/>
  <c r="L10" i="1"/>
  <c r="J10" i="1"/>
  <c r="H10" i="1"/>
  <c r="AB9" i="1"/>
  <c r="O9" i="1"/>
  <c r="L9" i="1"/>
  <c r="J9" i="1"/>
  <c r="H9" i="1"/>
  <c r="AB8" i="1"/>
  <c r="O8" i="1"/>
  <c r="L8" i="1"/>
  <c r="J8" i="1"/>
  <c r="H8" i="1"/>
  <c r="AB7" i="1"/>
  <c r="O7" i="1"/>
  <c r="L7" i="1"/>
  <c r="J7" i="1"/>
  <c r="H7" i="1"/>
  <c r="AB6" i="1"/>
  <c r="O6" i="1"/>
  <c r="L6" i="1"/>
  <c r="J6" i="1"/>
  <c r="H6" i="1"/>
  <c r="AB5" i="1"/>
  <c r="O5" i="1"/>
  <c r="L5" i="1"/>
  <c r="J5" i="1"/>
  <c r="H5" i="1"/>
  <c r="AB4" i="1"/>
  <c r="O4" i="1"/>
  <c r="L4" i="1"/>
  <c r="J4" i="1"/>
  <c r="H4" i="1"/>
  <c r="AB3" i="1"/>
  <c r="O3" i="1"/>
  <c r="L3" i="1"/>
  <c r="J3" i="1"/>
  <c r="H3" i="1"/>
  <c r="AB2" i="1"/>
  <c r="O2" i="1"/>
  <c r="L2" i="1"/>
  <c r="J2" i="1"/>
  <c r="H2" i="1"/>
</calcChain>
</file>

<file path=xl/sharedStrings.xml><?xml version="1.0" encoding="utf-8"?>
<sst xmlns="http://schemas.openxmlformats.org/spreadsheetml/2006/main" count="559" uniqueCount="174">
  <si>
    <t>SL No</t>
  </si>
  <si>
    <t>Month</t>
  </si>
  <si>
    <t>Date</t>
  </si>
  <si>
    <t>Ward_No</t>
  </si>
  <si>
    <t>Ward_Name</t>
  </si>
  <si>
    <t>Job_Code</t>
  </si>
  <si>
    <t>Job_Description</t>
  </si>
  <si>
    <t>Work_ Order</t>
  </si>
  <si>
    <t>Work_Order_Date</t>
  </si>
  <si>
    <t>Sub Bill Register_No</t>
  </si>
  <si>
    <t>Sub Bill Register_Date</t>
  </si>
  <si>
    <t>Bill Register No</t>
  </si>
  <si>
    <t>Bill Register Date</t>
  </si>
  <si>
    <t>Job Code Year</t>
  </si>
  <si>
    <t>CBR_No</t>
  </si>
  <si>
    <t>CBR_Date</t>
  </si>
  <si>
    <t>Gross_ Amount In Lakhs</t>
  </si>
  <si>
    <t>Deduction In Lakhs</t>
  </si>
  <si>
    <t>Nett_ Amount In Lakhs</t>
  </si>
  <si>
    <t>RTGS_No</t>
  </si>
  <si>
    <t>RTGS_Date</t>
  </si>
  <si>
    <t>Contractor Number</t>
  </si>
  <si>
    <t>Contractor_Name</t>
  </si>
  <si>
    <t>P_Code</t>
  </si>
  <si>
    <t>Budget_Head</t>
  </si>
  <si>
    <t>Budget_ Head_ID</t>
  </si>
  <si>
    <t>Engineer Details</t>
  </si>
  <si>
    <t>Gross_ Amount In Cr</t>
  </si>
  <si>
    <t>April</t>
  </si>
  <si>
    <t>P0300</t>
  </si>
  <si>
    <t>M and R to Street Lights - Replacement of Burnt Bulbs etc. (Package)</t>
  </si>
  <si>
    <t>P3158</t>
  </si>
  <si>
    <t>SIP Infrastructure Project works</t>
  </si>
  <si>
    <t>June</t>
  </si>
  <si>
    <t>P1771</t>
  </si>
  <si>
    <t>Zone Works - POW Works</t>
  </si>
  <si>
    <t>May</t>
  </si>
  <si>
    <t>P3075</t>
  </si>
  <si>
    <t>Special comprehensive development works in Bangalore city (Bangalore city in charge Minister Discretionary Grants)</t>
  </si>
  <si>
    <t>P3110</t>
  </si>
  <si>
    <t>14th Finance Commission Grant Works</t>
  </si>
  <si>
    <t>P3293</t>
  </si>
  <si>
    <t>14th Finance Commission Works - Drinking Water</t>
  </si>
  <si>
    <t>KRIDL</t>
  </si>
  <si>
    <t>Horamavu</t>
  </si>
  <si>
    <t>025-18-000047</t>
  </si>
  <si>
    <t>Improvements of Nagareshwara Nagenahalli K-Narayanapura Kothanuru Kyalasanahalli Geddalahalli in ward no 25 comes under STP Surrounding areas</t>
  </si>
  <si>
    <t>M. Venkatachalapathi</t>
  </si>
  <si>
    <t>ddo363</t>
  </si>
  <si>
    <t xml:space="preserve"> Assistant Executive Engineer Horamavu Mahadevapura Zone</t>
  </si>
  <si>
    <t>025-15-000035</t>
  </si>
  <si>
    <t>Providing Drain culverts and Asphalting to road surface Kottanuru village and Geddalahalli Sinikpuri main road in Horamavu ward no 25</t>
  </si>
  <si>
    <t>025-16-000001</t>
  </si>
  <si>
    <t>Operation and maintanance of street light fittings in ward no 25 Horamavu Mahadevapura Zone M14</t>
  </si>
  <si>
    <t>M/S KARTHIK ELECTRICAL</t>
  </si>
  <si>
    <t>ddo365</t>
  </si>
  <si>
    <t xml:space="preserve"> Executive Engineer Electrical Mahadevapura Zone</t>
  </si>
  <si>
    <t>025-16-000007</t>
  </si>
  <si>
    <t>Ward Manitenance works in Sir  m v nagara Horamavu  horamavu agara surrounding area Part 1 in ward No  25</t>
  </si>
  <si>
    <t>S.K Raju (Kemparaju)</t>
  </si>
  <si>
    <t>025-19-000006</t>
  </si>
  <si>
    <t>Improvements of roads and drains in ward no 26 Kowdenahalli ,ward no 53 Swathantranagara, ward no 25 Jyothinagara in K R Puram Constituency</t>
  </si>
  <si>
    <t>Hanumanthaiah</t>
  </si>
  <si>
    <t>P3409</t>
  </si>
  <si>
    <t>SFC Untied SC-SP/TSP Grant works</t>
  </si>
  <si>
    <t>025-17-000064</t>
  </si>
  <si>
    <t>Providing drinking water works in Ward No. 25</t>
  </si>
  <si>
    <t>Karnataka Rural Infrastructure Development Limited,</t>
  </si>
  <si>
    <t>025-18-000041</t>
  </si>
  <si>
    <t>Providing drinking water R.O Plant at Babusapalya and Geddalahalli in Horamavu ward no 25</t>
  </si>
  <si>
    <t>July</t>
  </si>
  <si>
    <t>025-19-000015</t>
  </si>
  <si>
    <t>Improvements in Roads and RCC Drains, CC road Babusapalya village in Ward No 25</t>
  </si>
  <si>
    <t>P1878</t>
  </si>
  <si>
    <t>18per - Works (Bhagyajyothi, Sooru / Neeru Yojane and General) (54 Lakhs / New Wards)</t>
  </si>
  <si>
    <t>025-19-000014</t>
  </si>
  <si>
    <t>Improvements in Roads and RCC Drains, CC roads and asphalting in Ambedkar colony Babusapalya Village in Ward No 25</t>
  </si>
  <si>
    <t xml:space="preserve">MANGADAHALLI NINGE GOWDA SHASHIDHAR </t>
  </si>
  <si>
    <t>025-19-000012</t>
  </si>
  <si>
    <t>Improvements in Roads and RCC Drains, CC roads in Vaddarapalya Village in Ward No 25</t>
  </si>
  <si>
    <t>025-19-000013</t>
  </si>
  <si>
    <t>Improvements in Roads and RCC Drains, CC roads and asphalting in Kaveri layout 1st, 2nd, 3rd, and 4th main Vaddarapalya village in Ward No 25</t>
  </si>
  <si>
    <t>Muniraju P.N</t>
  </si>
  <si>
    <t>025-19-000009</t>
  </si>
  <si>
    <t>Improvements in Roads and RCC Drains, CC Road and Asphalting in Kariyappa layout Yarangpalya in Ward No 25</t>
  </si>
  <si>
    <t>Nagesh.G.K</t>
  </si>
  <si>
    <t>025-19-000010</t>
  </si>
  <si>
    <t>Improvements in Roads and RCC Drains, CC Road and Asphalting in Neharu Road in Ward No 25</t>
  </si>
  <si>
    <t xml:space="preserve">RAGHAVENDRA B </t>
  </si>
  <si>
    <t>025-19-000011</t>
  </si>
  <si>
    <t>Improvements in Roads and RCC Drains at old post office road storm water drain to sakamma house Bhovi colony Ramamurthy Nagara in Ward No 25</t>
  </si>
  <si>
    <t>RAGHAVENDRA B</t>
  </si>
  <si>
    <t>025-19-000008</t>
  </si>
  <si>
    <t>Improvements in Roads and RCC Drains, CC Road and Asphalting in Ramamurthy Nagar, Pulikeshi street Nethaji road in Ward No 25</t>
  </si>
  <si>
    <t>August</t>
  </si>
  <si>
    <t>025-16-000012</t>
  </si>
  <si>
    <t>Construction of Culverts in emergency require area at babausabpalya chellekere geddalahalli kottanuru K Narayanapura surrounding area in hormavu area ward No 25</t>
  </si>
  <si>
    <t>A. Suresh</t>
  </si>
  <si>
    <t>025-18-000057</t>
  </si>
  <si>
    <t>Sinking of new Borewells errection of motor pumpsets and electrification to newly drilled borewells and providing water supply pipeline additional GI pipes and motor pumpset to existing borewells and new borewells at Geddalahalli K. Narayanapura and Surrounding area in Horamavu ward no 25</t>
  </si>
  <si>
    <t>Sri. Nagasandra Ramarao Sathis (Sathya Borewell cleaning)</t>
  </si>
  <si>
    <t>P0190</t>
  </si>
  <si>
    <t>Works sanctioned by Hon Mayor</t>
  </si>
  <si>
    <t>025-18-000053</t>
  </si>
  <si>
    <t>Sinking of new Borewells errection of motor pumpsets and electrification to newly drilled borewells and providing water supply pipeline additional GI pipes and motor pumpset to existing borewells and new borewells at Nagareshwara Nagenahalli Vaddarapalya Challakere, Bank Avenue and Surrounding area in Horamavu ward no 25</t>
  </si>
  <si>
    <t>Sri.Nagasandra Ramarao Sathis (Sathya Borewell Cleaning)</t>
  </si>
  <si>
    <t>025-18-000055</t>
  </si>
  <si>
    <t>Sinking of new Borewells errection of motor pumpsets and electrification to newly drilled borewells and providing water supply pipeline additional GI pipes and motor pumpset to existing borewells and new borewells at Hoysalanagara Horamavu Agara Banjara layoaut Horamavu and Surrounding area in Horamavu ward no 25</t>
  </si>
  <si>
    <t>Nagasandra Ramarao Sathish (Sathya Borewell Cleaning)</t>
  </si>
  <si>
    <t>025-18-000056</t>
  </si>
  <si>
    <t>Sinking of new Borewells errection of motor pumpsets and electrification to newly drilled borewells and providing water supply pipeline additional GI pipes and motor pumpset to existing borewells and new borewells at Manjunatha layout Jayanthinagara and Surrounding area in Horamavu ward no 25</t>
  </si>
  <si>
    <t>025-18-000054</t>
  </si>
  <si>
    <t>Sinking of new Borewells errection of motor pumpsets and electrification to newly drilled borewells and providing water supply pipeline additional GI pipes and motor pumpset to existing borewells and new borewells at Babasapalya Prakruthi Township Bank Avenue Balaji layout papaiah layout and Surrounding area in Horamavu ward no 25</t>
  </si>
  <si>
    <t>September</t>
  </si>
  <si>
    <t>025-19-000029</t>
  </si>
  <si>
    <t>Maintenance of Community Property works in ward no 25</t>
  </si>
  <si>
    <t>THAMANNA VENUGOPAL</t>
  </si>
  <si>
    <t>P3292</t>
  </si>
  <si>
    <t>14th Finance Commission Works - Community Property Maintenance (including Parks)</t>
  </si>
  <si>
    <t>025-19-000031</t>
  </si>
  <si>
    <t>Public Toilet Maintenance Works in ward no 25</t>
  </si>
  <si>
    <t xml:space="preserve">R GANGADHARA </t>
  </si>
  <si>
    <t>P3294</t>
  </si>
  <si>
    <t>14th Finance Commission Works - General Public ToiletandSeptage Maintenance</t>
  </si>
  <si>
    <t>025-19-000044</t>
  </si>
  <si>
    <t>Restoration of road cut portion done by BWSSB for Cauvery water supply pipe line in Nagareshwara Nagenahalli village surrounding area (under 110 Villages area) in Horamavu ward no 25</t>
  </si>
  <si>
    <t>C.R. Girish (Ram and Company)</t>
  </si>
  <si>
    <t>P0613</t>
  </si>
  <si>
    <t>Redoing of Road cut Portions (Deposit Contributions)</t>
  </si>
  <si>
    <t>025-19-000045</t>
  </si>
  <si>
    <t>Restoration of road cut portion done by BWSSB for Cauvery water supply pipe line in Nakshathra Layout Dhrabendre layout Anjanappa layout Kothnur village surrounding area (under 110 Villages area) in Horamavu ward no 25</t>
  </si>
  <si>
    <t>025-19-000049</t>
  </si>
  <si>
    <t>Restoration of road cut portion done by BWSSB for Cauvery water supply pipe line in Kylasanahalli village surrounding area (under 110 Villages area) in Horamavu ward no 25</t>
  </si>
  <si>
    <t>C R Girish (Ram and Company)</t>
  </si>
  <si>
    <t>025-19-000048</t>
  </si>
  <si>
    <t>Restoration of road cut portion done by BWSSB for Cauvery water supply pipe line in Geddalahalli village surrounding area (under 110 Villages area) in Horamavu ward no 25</t>
  </si>
  <si>
    <t>025-19-000046</t>
  </si>
  <si>
    <t>Restoration of road cut portion done by BWSSB for Cauvery water supply pipe line in Kothnur village Patel Ramaiah layout surrounding area (under 110 Villages area) in Horamavu ward no 25</t>
  </si>
  <si>
    <t>025-17-000021</t>
  </si>
  <si>
    <t>Improvements to road and drain at Kothnur Extension area roads in ward No.25</t>
  </si>
  <si>
    <t>Thimmegowda Rayegowda Patanahalli</t>
  </si>
  <si>
    <t>025-19-000032</t>
  </si>
  <si>
    <t>Providing UGD Works in ward no 25</t>
  </si>
  <si>
    <t>P3295</t>
  </si>
  <si>
    <t>14th Finance Commission Works - UGD Works</t>
  </si>
  <si>
    <t>025-18-000023</t>
  </si>
  <si>
    <t>Drilling of New borewells and providing water supply pipeline GI pipes and motor pumpset in Nagareshwara Nagenahalli, K-Narayanapura, Kothanuru and surrounding areas in Horamavu Ward No. 25.</t>
  </si>
  <si>
    <t>Nagasandra Shamanna Ramarao (Rajalakshmi Rock Drillers)</t>
  </si>
  <si>
    <t>025-18-000024</t>
  </si>
  <si>
    <t>Drilling of New borewells and providing water supply pipeline GI pipes and motor pumpset in Kyalasanahalli, Geddalahalli, Vaddarapalya, Chelakere, Babusapalya and surrounding areas in Horamavu Ward No. 25.</t>
  </si>
  <si>
    <t>025-18-000026</t>
  </si>
  <si>
    <t>Drilling of New borewells and providing water supply pipeline GI pipes and motor pumpset in Hoysalanagara, Babusapalya, Banjara Layout and surrounding areas in Horamavu Ward No. 25.</t>
  </si>
  <si>
    <t>025-18-000025</t>
  </si>
  <si>
    <t>Drilling of New borewells and providing water supply pipeline GI pipes and motor pumpset in Hoysalanagara, Horamavu Agara, Pand T Layout and surrounding areas in Horamavu Ward No. 25.</t>
  </si>
  <si>
    <t>October</t>
  </si>
  <si>
    <t>025-17-000049</t>
  </si>
  <si>
    <t>Construction of Qtrs. compound wall and school buildings in K R Puram Constituency</t>
  </si>
  <si>
    <t>Sri. M Venkatachalapathy</t>
  </si>
  <si>
    <t>P3106</t>
  </si>
  <si>
    <t>Nagarothana Works</t>
  </si>
  <si>
    <t>025-17-000048</t>
  </si>
  <si>
    <t>Construction of Anganawadi buildings in K R Puram Constituency</t>
  </si>
  <si>
    <t>025-17-000050</t>
  </si>
  <si>
    <t xml:space="preserve">Construction of Hospital Building in Horamavu Agara in K R Puram Constituency </t>
  </si>
  <si>
    <t>November</t>
  </si>
  <si>
    <t>December</t>
  </si>
  <si>
    <t>025-18-000092</t>
  </si>
  <si>
    <t xml:space="preserve">Solid waste management at Jayanthi Nagara Horamavu ward no 25 </t>
  </si>
  <si>
    <t>Karnataka Rural Infrastructure Development Limited</t>
  </si>
  <si>
    <t>P3298</t>
  </si>
  <si>
    <t>14th Finance Commission Works - SWM Works</t>
  </si>
  <si>
    <t>025-19-000047</t>
  </si>
  <si>
    <t>Restoration of road cut portion done by BWSSB for Cauvery water supply pipe line in K. Narayanapura village surrounding area (under 110 Villages area) in Horamavu ward no 25</t>
  </si>
  <si>
    <t>C R Girish (Ram and company)</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</si>
</sst>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Calibri"/>
      <family val="2"/>
      <scheme val="minor"/>
    </font>
    <font>
      <b/>
      <sz val="10"/>
      <color theme="1"/>
      <name val="Calibri"/>
      <family val="2"/>
      <scheme val="minor"/>
    </font>
    <font>
      <sz val="10"/>
      <color theme="1"/>
      <name val="Calibri"/>
      <family val="2"/>
      <scheme val="minor"/>
    </font>
    <font>
      <sz val="8"/>
      <color theme="1"/>
      <name val="Verdana"/>
      <family val="2"/>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0" borderId="0" xfId="0" applyFont="1" applyAlignment="1">
      <alignment horizontal="center" vertical="center"/>
    </xf>
    <xf numFmtId="0" fontId="2" fillId="0" borderId="0" xfId="0" applyFont="1"/>
    <xf numFmtId="1" fontId="3" fillId="0" borderId="1" xfId="0" applyNumberFormat="1" applyFont="1" applyBorder="1" applyAlignment="1">
      <alignment horizontal="center" vertical="center"/>
    </xf>
    <xf numFmtId="15" fontId="3" fillId="0" borderId="1" xfId="0" applyNumberFormat="1" applyFont="1" applyBorder="1" applyAlignment="1">
      <alignment horizontal="left" vertical="center"/>
    </xf>
    <xf numFmtId="15" fontId="3" fillId="0" borderId="1" xfId="0" applyNumberFormat="1"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2" fontId="3" fillId="0" borderId="1" xfId="0" applyNumberFormat="1" applyFont="1" applyBorder="1" applyAlignment="1">
      <alignment horizontal="right" vertical="center"/>
    </xf>
    <xf numFmtId="0" fontId="3" fillId="0" borderId="1" xfId="0" applyFont="1" applyBorder="1" applyAlignment="1">
      <alignment vertical="center"/>
    </xf>
    <xf numFmtId="2" fontId="3" fillId="0" borderId="1" xfId="0" applyNumberFormat="1" applyFont="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0"/>
  <sheetViews>
    <sheetView tabSelected="1" workbookViewId="0"/>
  </sheetViews>
  <sheetFormatPr defaultRowHeight="14.5" x14ac:dyDescent="0.35"/>
  <cols>
    <col min="1" max="1" width="5" bestFit="1" customWidth="1"/>
    <col min="2" max="2" width="8.81640625" bestFit="1" customWidth="1"/>
    <col min="3" max="3" width="9.54296875" bestFit="1" customWidth="1"/>
    <col min="4" max="4" width="8.08984375" bestFit="1" customWidth="1"/>
    <col min="5" max="5" width="10.36328125" bestFit="1" customWidth="1"/>
    <col min="6" max="6" width="13.26953125" bestFit="1" customWidth="1"/>
    <col min="7" max="7" width="31.81640625" customWidth="1"/>
    <col min="16" max="16" width="9.54296875" bestFit="1" customWidth="1"/>
    <col min="21" max="21" width="9.54296875" bestFit="1" customWidth="1"/>
    <col min="27" max="27" width="16.81640625" customWidth="1"/>
  </cols>
  <sheetData>
    <row r="1" spans="1:28" s="3" customFormat="1" ht="24" customHeight="1" x14ac:dyDescent="0.35">
      <c r="A1" s="1" t="s">
        <v>0</v>
      </c>
      <c r="B1" s="1" t="s">
        <v>1</v>
      </c>
      <c r="C1" s="1" t="s">
        <v>2</v>
      </c>
      <c r="D1" s="1" t="s">
        <v>3</v>
      </c>
      <c r="E1" s="1" t="s">
        <v>4</v>
      </c>
      <c r="F1" s="1" t="s">
        <v>5</v>
      </c>
      <c r="G1" s="1" t="s">
        <v>6</v>
      </c>
      <c r="H1" s="2" t="s">
        <v>7</v>
      </c>
      <c r="I1" s="2" t="s">
        <v>8</v>
      </c>
      <c r="J1" s="2" t="s">
        <v>9</v>
      </c>
      <c r="K1" s="2" t="s">
        <v>10</v>
      </c>
      <c r="L1" s="2" t="s">
        <v>11</v>
      </c>
      <c r="M1" s="2" t="s">
        <v>12</v>
      </c>
      <c r="N1" s="2" t="s">
        <v>13</v>
      </c>
      <c r="O1" s="1" t="s">
        <v>14</v>
      </c>
      <c r="P1" s="1" t="s">
        <v>15</v>
      </c>
      <c r="Q1" s="2" t="s">
        <v>16</v>
      </c>
      <c r="R1" s="2" t="s">
        <v>17</v>
      </c>
      <c r="S1" s="2" t="s">
        <v>18</v>
      </c>
      <c r="T1" s="2" t="s">
        <v>19</v>
      </c>
      <c r="U1" s="1" t="s">
        <v>20</v>
      </c>
      <c r="V1" s="2" t="s">
        <v>21</v>
      </c>
      <c r="W1" s="1" t="s">
        <v>22</v>
      </c>
      <c r="X1" s="1" t="s">
        <v>23</v>
      </c>
      <c r="Y1" s="1" t="s">
        <v>24</v>
      </c>
      <c r="Z1" s="2" t="s">
        <v>25</v>
      </c>
      <c r="AA1" s="1" t="s">
        <v>26</v>
      </c>
      <c r="AB1" s="2" t="s">
        <v>27</v>
      </c>
    </row>
    <row r="2" spans="1:28" s="4" customFormat="1" ht="13" x14ac:dyDescent="0.3">
      <c r="A2" s="5">
        <v>848</v>
      </c>
      <c r="B2" s="6" t="s">
        <v>28</v>
      </c>
      <c r="C2" s="7">
        <v>43564</v>
      </c>
      <c r="D2" s="8">
        <v>25</v>
      </c>
      <c r="E2" s="9" t="s">
        <v>44</v>
      </c>
      <c r="F2" s="8" t="s">
        <v>45</v>
      </c>
      <c r="G2" s="9" t="s">
        <v>46</v>
      </c>
      <c r="H2" s="8" t="str">
        <f>"000080"</f>
        <v>000080</v>
      </c>
      <c r="I2" s="7">
        <v>43379</v>
      </c>
      <c r="J2" s="8" t="str">
        <f>"000157"</f>
        <v>000157</v>
      </c>
      <c r="K2" s="7">
        <v>43496</v>
      </c>
      <c r="L2" s="8" t="str">
        <f>"000359"</f>
        <v>000359</v>
      </c>
      <c r="M2" s="7">
        <v>43496</v>
      </c>
      <c r="N2" s="8">
        <v>18</v>
      </c>
      <c r="O2" s="8" t="str">
        <f>""</f>
        <v/>
      </c>
      <c r="P2" s="7"/>
      <c r="Q2" s="10">
        <v>65.659440000000004</v>
      </c>
      <c r="R2" s="10">
        <v>3.5578799999999999</v>
      </c>
      <c r="S2" s="10">
        <v>62.101559999999999</v>
      </c>
      <c r="T2" s="8">
        <v>6</v>
      </c>
      <c r="U2" s="7">
        <v>43564</v>
      </c>
      <c r="V2" s="8">
        <v>9342551777</v>
      </c>
      <c r="W2" s="9" t="s">
        <v>47</v>
      </c>
      <c r="X2" s="8" t="s">
        <v>31</v>
      </c>
      <c r="Y2" s="9" t="s">
        <v>32</v>
      </c>
      <c r="Z2" s="8" t="s">
        <v>48</v>
      </c>
      <c r="AA2" s="9" t="s">
        <v>49</v>
      </c>
      <c r="AB2" s="10">
        <f t="shared" ref="AB2:AB14" si="0">Q2/100</f>
        <v>0.65659440000000002</v>
      </c>
    </row>
    <row r="3" spans="1:28" s="4" customFormat="1" ht="13" x14ac:dyDescent="0.3">
      <c r="A3" s="5">
        <v>849</v>
      </c>
      <c r="B3" s="6" t="s">
        <v>28</v>
      </c>
      <c r="C3" s="7">
        <v>43564</v>
      </c>
      <c r="D3" s="8">
        <v>25</v>
      </c>
      <c r="E3" s="9" t="s">
        <v>44</v>
      </c>
      <c r="F3" s="8" t="s">
        <v>45</v>
      </c>
      <c r="G3" s="9" t="s">
        <v>46</v>
      </c>
      <c r="H3" s="8" t="str">
        <f>"000080"</f>
        <v>000080</v>
      </c>
      <c r="I3" s="7">
        <v>43379</v>
      </c>
      <c r="J3" s="8" t="str">
        <f>"000157"</f>
        <v>000157</v>
      </c>
      <c r="K3" s="7">
        <v>43496</v>
      </c>
      <c r="L3" s="8" t="str">
        <f>"000359"</f>
        <v>000359</v>
      </c>
      <c r="M3" s="7">
        <v>43496</v>
      </c>
      <c r="N3" s="8">
        <v>18</v>
      </c>
      <c r="O3" s="8" t="str">
        <f>""</f>
        <v/>
      </c>
      <c r="P3" s="7"/>
      <c r="Q3" s="10">
        <v>46.147950000000002</v>
      </c>
      <c r="R3" s="10">
        <v>5.7802100000000003</v>
      </c>
      <c r="S3" s="10">
        <v>40.367739999999998</v>
      </c>
      <c r="T3" s="8">
        <v>6</v>
      </c>
      <c r="U3" s="7">
        <v>43564</v>
      </c>
      <c r="V3" s="8">
        <v>9342551777</v>
      </c>
      <c r="W3" s="9" t="s">
        <v>47</v>
      </c>
      <c r="X3" s="8" t="s">
        <v>31</v>
      </c>
      <c r="Y3" s="9" t="s">
        <v>32</v>
      </c>
      <c r="Z3" s="8" t="s">
        <v>48</v>
      </c>
      <c r="AA3" s="9" t="s">
        <v>49</v>
      </c>
      <c r="AB3" s="10">
        <f t="shared" si="0"/>
        <v>0.46147950000000004</v>
      </c>
    </row>
    <row r="4" spans="1:28" s="4" customFormat="1" ht="13" x14ac:dyDescent="0.3">
      <c r="A4" s="5">
        <v>850</v>
      </c>
      <c r="B4" s="6" t="s">
        <v>28</v>
      </c>
      <c r="C4" s="7">
        <v>43564</v>
      </c>
      <c r="D4" s="8">
        <v>25</v>
      </c>
      <c r="E4" s="9" t="s">
        <v>44</v>
      </c>
      <c r="F4" s="8" t="s">
        <v>45</v>
      </c>
      <c r="G4" s="9" t="s">
        <v>46</v>
      </c>
      <c r="H4" s="8" t="str">
        <f>"000080"</f>
        <v>000080</v>
      </c>
      <c r="I4" s="7">
        <v>43379</v>
      </c>
      <c r="J4" s="8" t="str">
        <f>"000157"</f>
        <v>000157</v>
      </c>
      <c r="K4" s="7">
        <v>43496</v>
      </c>
      <c r="L4" s="8" t="str">
        <f>"000359"</f>
        <v>000359</v>
      </c>
      <c r="M4" s="7">
        <v>43496</v>
      </c>
      <c r="N4" s="8">
        <v>18</v>
      </c>
      <c r="O4" s="8" t="str">
        <f>""</f>
        <v/>
      </c>
      <c r="P4" s="7"/>
      <c r="Q4" s="10">
        <v>87.289789999999996</v>
      </c>
      <c r="R4" s="10">
        <v>6.3032500000000002</v>
      </c>
      <c r="S4" s="10">
        <v>80.986540000000005</v>
      </c>
      <c r="T4" s="8">
        <v>6</v>
      </c>
      <c r="U4" s="7">
        <v>43564</v>
      </c>
      <c r="V4" s="8">
        <v>9342551777</v>
      </c>
      <c r="W4" s="9" t="s">
        <v>47</v>
      </c>
      <c r="X4" s="8" t="s">
        <v>31</v>
      </c>
      <c r="Y4" s="9" t="s">
        <v>32</v>
      </c>
      <c r="Z4" s="8" t="s">
        <v>48</v>
      </c>
      <c r="AA4" s="9" t="s">
        <v>49</v>
      </c>
      <c r="AB4" s="10">
        <f t="shared" si="0"/>
        <v>0.8728979</v>
      </c>
    </row>
    <row r="5" spans="1:28" s="4" customFormat="1" ht="13" x14ac:dyDescent="0.3">
      <c r="A5" s="5">
        <v>851</v>
      </c>
      <c r="B5" s="6" t="s">
        <v>28</v>
      </c>
      <c r="C5" s="7">
        <v>43564</v>
      </c>
      <c r="D5" s="8">
        <v>25</v>
      </c>
      <c r="E5" s="9" t="s">
        <v>44</v>
      </c>
      <c r="F5" s="8" t="s">
        <v>45</v>
      </c>
      <c r="G5" s="9" t="s">
        <v>46</v>
      </c>
      <c r="H5" s="8" t="str">
        <f>"000080"</f>
        <v>000080</v>
      </c>
      <c r="I5" s="7">
        <v>43379</v>
      </c>
      <c r="J5" s="8" t="str">
        <f>"000157"</f>
        <v>000157</v>
      </c>
      <c r="K5" s="7">
        <v>43496</v>
      </c>
      <c r="L5" s="8" t="str">
        <f>"000359"</f>
        <v>000359</v>
      </c>
      <c r="M5" s="7">
        <v>43496</v>
      </c>
      <c r="N5" s="8">
        <v>18</v>
      </c>
      <c r="O5" s="8" t="str">
        <f>""</f>
        <v/>
      </c>
      <c r="P5" s="7"/>
      <c r="Q5" s="10">
        <v>103.7645</v>
      </c>
      <c r="R5" s="10">
        <v>6.3731099999999996</v>
      </c>
      <c r="S5" s="10">
        <v>97.391390000000001</v>
      </c>
      <c r="T5" s="8">
        <v>6</v>
      </c>
      <c r="U5" s="7">
        <v>43564</v>
      </c>
      <c r="V5" s="8">
        <v>9342551777</v>
      </c>
      <c r="W5" s="9" t="s">
        <v>47</v>
      </c>
      <c r="X5" s="8" t="s">
        <v>31</v>
      </c>
      <c r="Y5" s="9" t="s">
        <v>32</v>
      </c>
      <c r="Z5" s="8" t="s">
        <v>48</v>
      </c>
      <c r="AA5" s="9" t="s">
        <v>49</v>
      </c>
      <c r="AB5" s="10">
        <f t="shared" si="0"/>
        <v>1.0376449999999999</v>
      </c>
    </row>
    <row r="6" spans="1:28" s="4" customFormat="1" ht="13" x14ac:dyDescent="0.3">
      <c r="A6" s="5">
        <v>852</v>
      </c>
      <c r="B6" s="6" t="s">
        <v>28</v>
      </c>
      <c r="C6" s="7">
        <v>43566</v>
      </c>
      <c r="D6" s="8">
        <v>25</v>
      </c>
      <c r="E6" s="9" t="s">
        <v>44</v>
      </c>
      <c r="F6" s="8" t="s">
        <v>50</v>
      </c>
      <c r="G6" s="9" t="s">
        <v>51</v>
      </c>
      <c r="H6" s="8" t="str">
        <f>"0004"</f>
        <v>0004</v>
      </c>
      <c r="I6" s="7">
        <v>4</v>
      </c>
      <c r="J6" s="8" t="str">
        <f>"000073"</f>
        <v>000073</v>
      </c>
      <c r="K6" s="7">
        <v>42916</v>
      </c>
      <c r="L6" s="8" t="str">
        <f>"000209"</f>
        <v>000209</v>
      </c>
      <c r="M6" s="7">
        <v>42916</v>
      </c>
      <c r="N6" s="8">
        <v>15</v>
      </c>
      <c r="O6" s="8" t="str">
        <f>"000072"</f>
        <v>000072</v>
      </c>
      <c r="P6" s="7">
        <v>43563</v>
      </c>
      <c r="Q6" s="10">
        <v>37.600239999999999</v>
      </c>
      <c r="R6" s="10">
        <v>5.4574800000000003</v>
      </c>
      <c r="S6" s="10">
        <v>32.142760000000003</v>
      </c>
      <c r="T6" s="8">
        <v>12</v>
      </c>
      <c r="U6" s="7">
        <v>43566</v>
      </c>
      <c r="V6" s="8">
        <v>9538554894</v>
      </c>
      <c r="W6" s="9" t="s">
        <v>43</v>
      </c>
      <c r="X6" s="8" t="s">
        <v>37</v>
      </c>
      <c r="Y6" s="9" t="s">
        <v>38</v>
      </c>
      <c r="Z6" s="8" t="s">
        <v>48</v>
      </c>
      <c r="AA6" s="9" t="s">
        <v>49</v>
      </c>
      <c r="AB6" s="10">
        <f t="shared" si="0"/>
        <v>0.37600240000000001</v>
      </c>
    </row>
    <row r="7" spans="1:28" s="4" customFormat="1" ht="13" x14ac:dyDescent="0.3">
      <c r="A7" s="5">
        <v>853</v>
      </c>
      <c r="B7" s="6" t="s">
        <v>28</v>
      </c>
      <c r="C7" s="7">
        <v>43567</v>
      </c>
      <c r="D7" s="8">
        <v>25</v>
      </c>
      <c r="E7" s="9" t="s">
        <v>44</v>
      </c>
      <c r="F7" s="8" t="s">
        <v>52</v>
      </c>
      <c r="G7" s="9" t="s">
        <v>53</v>
      </c>
      <c r="H7" s="8" t="str">
        <f t="shared" ref="H7:H12" si="1">"000020"</f>
        <v>000020</v>
      </c>
      <c r="I7" s="7">
        <v>42625</v>
      </c>
      <c r="J7" s="8" t="str">
        <f>"000038"</f>
        <v>000038</v>
      </c>
      <c r="K7" s="7">
        <v>43334</v>
      </c>
      <c r="L7" s="8" t="str">
        <f>"000038"</f>
        <v>000038</v>
      </c>
      <c r="M7" s="7">
        <v>43334</v>
      </c>
      <c r="N7" s="8">
        <v>16</v>
      </c>
      <c r="O7" s="8" t="str">
        <f>"000824"</f>
        <v>000824</v>
      </c>
      <c r="P7" s="7">
        <v>43578</v>
      </c>
      <c r="Q7" s="10">
        <v>6.9580599999999997</v>
      </c>
      <c r="R7" s="10">
        <v>0.87400999999999995</v>
      </c>
      <c r="S7" s="10">
        <v>6.0840500000000004</v>
      </c>
      <c r="T7" s="8">
        <v>17</v>
      </c>
      <c r="U7" s="7">
        <v>43567</v>
      </c>
      <c r="V7" s="8">
        <v>9980796171</v>
      </c>
      <c r="W7" s="9" t="s">
        <v>54</v>
      </c>
      <c r="X7" s="8" t="s">
        <v>29</v>
      </c>
      <c r="Y7" s="9" t="s">
        <v>30</v>
      </c>
      <c r="Z7" s="8" t="s">
        <v>55</v>
      </c>
      <c r="AA7" s="9" t="s">
        <v>56</v>
      </c>
      <c r="AB7" s="10">
        <f t="shared" si="0"/>
        <v>6.9580599999999992E-2</v>
      </c>
    </row>
    <row r="8" spans="1:28" s="4" customFormat="1" ht="13" x14ac:dyDescent="0.3">
      <c r="A8" s="5">
        <v>854</v>
      </c>
      <c r="B8" s="6" t="s">
        <v>28</v>
      </c>
      <c r="C8" s="7">
        <v>43575</v>
      </c>
      <c r="D8" s="8">
        <v>25</v>
      </c>
      <c r="E8" s="9" t="s">
        <v>44</v>
      </c>
      <c r="F8" s="8" t="s">
        <v>52</v>
      </c>
      <c r="G8" s="9" t="s">
        <v>53</v>
      </c>
      <c r="H8" s="8" t="str">
        <f t="shared" si="1"/>
        <v>000020</v>
      </c>
      <c r="I8" s="7">
        <v>42625</v>
      </c>
      <c r="J8" s="8" t="str">
        <f>"000038"</f>
        <v>000038</v>
      </c>
      <c r="K8" s="7">
        <v>43334</v>
      </c>
      <c r="L8" s="8" t="str">
        <f>"000038"</f>
        <v>000038</v>
      </c>
      <c r="M8" s="7">
        <v>43334</v>
      </c>
      <c r="N8" s="8">
        <v>16</v>
      </c>
      <c r="O8" s="8" t="str">
        <f>"000824"</f>
        <v>000824</v>
      </c>
      <c r="P8" s="7">
        <v>43578</v>
      </c>
      <c r="Q8" s="10">
        <v>6.9580599999999997</v>
      </c>
      <c r="R8" s="10">
        <v>0.85901000000000005</v>
      </c>
      <c r="S8" s="10">
        <v>6.0990500000000001</v>
      </c>
      <c r="T8" s="8">
        <v>20</v>
      </c>
      <c r="U8" s="7">
        <v>43575</v>
      </c>
      <c r="V8" s="8">
        <v>9980796171</v>
      </c>
      <c r="W8" s="9" t="s">
        <v>54</v>
      </c>
      <c r="X8" s="8" t="s">
        <v>29</v>
      </c>
      <c r="Y8" s="9" t="s">
        <v>30</v>
      </c>
      <c r="Z8" s="8" t="s">
        <v>55</v>
      </c>
      <c r="AA8" s="9" t="s">
        <v>56</v>
      </c>
      <c r="AB8" s="10">
        <f t="shared" si="0"/>
        <v>6.9580599999999992E-2</v>
      </c>
    </row>
    <row r="9" spans="1:28" s="4" customFormat="1" ht="13" x14ac:dyDescent="0.3">
      <c r="A9" s="5">
        <v>855</v>
      </c>
      <c r="B9" s="6" t="s">
        <v>28</v>
      </c>
      <c r="C9" s="7">
        <v>43575</v>
      </c>
      <c r="D9" s="8">
        <v>25</v>
      </c>
      <c r="E9" s="9" t="s">
        <v>44</v>
      </c>
      <c r="F9" s="8" t="s">
        <v>52</v>
      </c>
      <c r="G9" s="9" t="s">
        <v>53</v>
      </c>
      <c r="H9" s="8" t="str">
        <f t="shared" si="1"/>
        <v>000020</v>
      </c>
      <c r="I9" s="7">
        <v>42625</v>
      </c>
      <c r="J9" s="8" t="str">
        <f>"000038"</f>
        <v>000038</v>
      </c>
      <c r="K9" s="7">
        <v>43334</v>
      </c>
      <c r="L9" s="8" t="str">
        <f>"000038"</f>
        <v>000038</v>
      </c>
      <c r="M9" s="7">
        <v>43334</v>
      </c>
      <c r="N9" s="8">
        <v>16</v>
      </c>
      <c r="O9" s="8" t="str">
        <f>"000824"</f>
        <v>000824</v>
      </c>
      <c r="P9" s="7">
        <v>43578</v>
      </c>
      <c r="Q9" s="10">
        <v>30.0029</v>
      </c>
      <c r="R9" s="10">
        <v>3.7893599999999998</v>
      </c>
      <c r="S9" s="10">
        <v>26.213539999999998</v>
      </c>
      <c r="T9" s="8">
        <v>20</v>
      </c>
      <c r="U9" s="7">
        <v>43575</v>
      </c>
      <c r="V9" s="8">
        <v>9980796171</v>
      </c>
      <c r="W9" s="9" t="s">
        <v>54</v>
      </c>
      <c r="X9" s="8" t="s">
        <v>29</v>
      </c>
      <c r="Y9" s="9" t="s">
        <v>30</v>
      </c>
      <c r="Z9" s="8" t="s">
        <v>55</v>
      </c>
      <c r="AA9" s="9" t="s">
        <v>56</v>
      </c>
      <c r="AB9" s="10">
        <f t="shared" si="0"/>
        <v>0.30002899999999999</v>
      </c>
    </row>
    <row r="10" spans="1:28" s="4" customFormat="1" ht="13" x14ac:dyDescent="0.3">
      <c r="A10" s="5">
        <v>856</v>
      </c>
      <c r="B10" s="6" t="s">
        <v>28</v>
      </c>
      <c r="C10" s="7">
        <v>43575</v>
      </c>
      <c r="D10" s="8">
        <v>25</v>
      </c>
      <c r="E10" s="9" t="s">
        <v>44</v>
      </c>
      <c r="F10" s="8" t="s">
        <v>52</v>
      </c>
      <c r="G10" s="9" t="s">
        <v>53</v>
      </c>
      <c r="H10" s="8" t="str">
        <f t="shared" si="1"/>
        <v>000020</v>
      </c>
      <c r="I10" s="7">
        <v>42625</v>
      </c>
      <c r="J10" s="8" t="str">
        <f>"000038"</f>
        <v>000038</v>
      </c>
      <c r="K10" s="7">
        <v>43334</v>
      </c>
      <c r="L10" s="8" t="str">
        <f>"000038"</f>
        <v>000038</v>
      </c>
      <c r="M10" s="7">
        <v>43334</v>
      </c>
      <c r="N10" s="8">
        <v>16</v>
      </c>
      <c r="O10" s="8" t="str">
        <f>"000824"</f>
        <v>000824</v>
      </c>
      <c r="P10" s="7">
        <v>43578</v>
      </c>
      <c r="Q10" s="10">
        <v>11.95823</v>
      </c>
      <c r="R10" s="10">
        <v>1.4655199999999999</v>
      </c>
      <c r="S10" s="10">
        <v>10.492710000000001</v>
      </c>
      <c r="T10" s="8">
        <v>20</v>
      </c>
      <c r="U10" s="7">
        <v>43575</v>
      </c>
      <c r="V10" s="8">
        <v>9980796171</v>
      </c>
      <c r="W10" s="9" t="s">
        <v>54</v>
      </c>
      <c r="X10" s="8" t="s">
        <v>29</v>
      </c>
      <c r="Y10" s="9" t="s">
        <v>30</v>
      </c>
      <c r="Z10" s="8" t="s">
        <v>55</v>
      </c>
      <c r="AA10" s="9" t="s">
        <v>56</v>
      </c>
      <c r="AB10" s="10">
        <f t="shared" si="0"/>
        <v>0.1195823</v>
      </c>
    </row>
    <row r="11" spans="1:28" s="4" customFormat="1" ht="13" x14ac:dyDescent="0.3">
      <c r="A11" s="5">
        <v>857</v>
      </c>
      <c r="B11" s="6" t="s">
        <v>28</v>
      </c>
      <c r="C11" s="7">
        <v>43580</v>
      </c>
      <c r="D11" s="8">
        <v>25</v>
      </c>
      <c r="E11" s="9" t="s">
        <v>44</v>
      </c>
      <c r="F11" s="8" t="s">
        <v>52</v>
      </c>
      <c r="G11" s="9" t="s">
        <v>53</v>
      </c>
      <c r="H11" s="8" t="str">
        <f t="shared" si="1"/>
        <v>000020</v>
      </c>
      <c r="I11" s="7">
        <v>42625</v>
      </c>
      <c r="J11" s="8" t="str">
        <f>"000007"</f>
        <v>000007</v>
      </c>
      <c r="K11" s="7">
        <v>43599</v>
      </c>
      <c r="L11" s="8" t="str">
        <f>"000007"</f>
        <v>000007</v>
      </c>
      <c r="M11" s="7">
        <v>43599</v>
      </c>
      <c r="N11" s="8">
        <v>16</v>
      </c>
      <c r="O11" s="8" t="str">
        <f>""</f>
        <v/>
      </c>
      <c r="P11" s="7"/>
      <c r="Q11" s="10">
        <v>6.9580599999999997</v>
      </c>
      <c r="R11" s="10">
        <v>0.87400999999999995</v>
      </c>
      <c r="S11" s="10">
        <v>6.0840500000000004</v>
      </c>
      <c r="T11" s="8">
        <v>29</v>
      </c>
      <c r="U11" s="7">
        <v>43580</v>
      </c>
      <c r="V11" s="8">
        <v>9980796171</v>
      </c>
      <c r="W11" s="9" t="s">
        <v>54</v>
      </c>
      <c r="X11" s="8" t="s">
        <v>29</v>
      </c>
      <c r="Y11" s="9" t="s">
        <v>30</v>
      </c>
      <c r="Z11" s="8" t="s">
        <v>55</v>
      </c>
      <c r="AA11" s="9" t="s">
        <v>56</v>
      </c>
      <c r="AB11" s="10">
        <f t="shared" si="0"/>
        <v>6.9580599999999992E-2</v>
      </c>
    </row>
    <row r="12" spans="1:28" s="4" customFormat="1" ht="13" x14ac:dyDescent="0.3">
      <c r="A12" s="5">
        <v>858</v>
      </c>
      <c r="B12" s="6" t="s">
        <v>28</v>
      </c>
      <c r="C12" s="7">
        <v>43580</v>
      </c>
      <c r="D12" s="8">
        <v>25</v>
      </c>
      <c r="E12" s="9" t="s">
        <v>44</v>
      </c>
      <c r="F12" s="8" t="s">
        <v>52</v>
      </c>
      <c r="G12" s="9" t="s">
        <v>53</v>
      </c>
      <c r="H12" s="8" t="str">
        <f t="shared" si="1"/>
        <v>000020</v>
      </c>
      <c r="I12" s="7">
        <v>42625</v>
      </c>
      <c r="J12" s="8" t="str">
        <f>"000007"</f>
        <v>000007</v>
      </c>
      <c r="K12" s="7">
        <v>43599</v>
      </c>
      <c r="L12" s="8" t="str">
        <f>"000007"</f>
        <v>000007</v>
      </c>
      <c r="M12" s="7">
        <v>43599</v>
      </c>
      <c r="N12" s="8">
        <v>16</v>
      </c>
      <c r="O12" s="8" t="str">
        <f>""</f>
        <v/>
      </c>
      <c r="P12" s="7"/>
      <c r="Q12" s="10">
        <v>11.95823</v>
      </c>
      <c r="R12" s="10">
        <v>1.58552</v>
      </c>
      <c r="S12" s="10">
        <v>10.37271</v>
      </c>
      <c r="T12" s="8">
        <v>29</v>
      </c>
      <c r="U12" s="7">
        <v>43580</v>
      </c>
      <c r="V12" s="8">
        <v>9980796171</v>
      </c>
      <c r="W12" s="9" t="s">
        <v>54</v>
      </c>
      <c r="X12" s="8" t="s">
        <v>29</v>
      </c>
      <c r="Y12" s="9" t="s">
        <v>30</v>
      </c>
      <c r="Z12" s="8" t="s">
        <v>55</v>
      </c>
      <c r="AA12" s="9" t="s">
        <v>56</v>
      </c>
      <c r="AB12" s="10">
        <f t="shared" si="0"/>
        <v>0.1195823</v>
      </c>
    </row>
    <row r="13" spans="1:28" s="4" customFormat="1" ht="13" x14ac:dyDescent="0.3">
      <c r="A13" s="5">
        <v>859</v>
      </c>
      <c r="B13" s="6" t="s">
        <v>36</v>
      </c>
      <c r="C13" s="7">
        <v>43598</v>
      </c>
      <c r="D13" s="8">
        <v>25</v>
      </c>
      <c r="E13" s="9" t="s">
        <v>44</v>
      </c>
      <c r="F13" s="8" t="s">
        <v>65</v>
      </c>
      <c r="G13" s="9" t="s">
        <v>66</v>
      </c>
      <c r="H13" s="8" t="str">
        <f>"000492"</f>
        <v>000492</v>
      </c>
      <c r="I13" s="7">
        <v>43552</v>
      </c>
      <c r="J13" s="8" t="str">
        <f>"000191"</f>
        <v>000191</v>
      </c>
      <c r="K13" s="7">
        <v>43553</v>
      </c>
      <c r="L13" s="8" t="str">
        <f>"000441"</f>
        <v>000441</v>
      </c>
      <c r="M13" s="7">
        <v>43553</v>
      </c>
      <c r="N13" s="8">
        <v>17</v>
      </c>
      <c r="O13" s="8" t="str">
        <f>"001418"</f>
        <v>001418</v>
      </c>
      <c r="P13" s="7">
        <v>43595</v>
      </c>
      <c r="Q13" s="10">
        <v>12.49634</v>
      </c>
      <c r="R13" s="10">
        <v>1.3247199999999999</v>
      </c>
      <c r="S13" s="10">
        <v>11.171620000000001</v>
      </c>
      <c r="T13" s="8">
        <v>41</v>
      </c>
      <c r="U13" s="7">
        <v>43598</v>
      </c>
      <c r="V13" s="8">
        <v>9916879219</v>
      </c>
      <c r="W13" s="9" t="s">
        <v>67</v>
      </c>
      <c r="X13" s="8" t="s">
        <v>39</v>
      </c>
      <c r="Y13" s="9" t="s">
        <v>40</v>
      </c>
      <c r="Z13" s="8" t="s">
        <v>48</v>
      </c>
      <c r="AA13" s="9" t="s">
        <v>49</v>
      </c>
      <c r="AB13" s="10">
        <f t="shared" si="0"/>
        <v>0.1249634</v>
      </c>
    </row>
    <row r="14" spans="1:28" s="4" customFormat="1" ht="13" x14ac:dyDescent="0.3">
      <c r="A14" s="5">
        <v>860</v>
      </c>
      <c r="B14" s="6" t="s">
        <v>36</v>
      </c>
      <c r="C14" s="7">
        <v>43598</v>
      </c>
      <c r="D14" s="8">
        <v>25</v>
      </c>
      <c r="E14" s="9" t="s">
        <v>44</v>
      </c>
      <c r="F14" s="8" t="s">
        <v>68</v>
      </c>
      <c r="G14" s="9" t="s">
        <v>69</v>
      </c>
      <c r="H14" s="8" t="str">
        <f>"000141"</f>
        <v>000141</v>
      </c>
      <c r="I14" s="7">
        <v>43420</v>
      </c>
      <c r="J14" s="8" t="str">
        <f>"000002"</f>
        <v>000002</v>
      </c>
      <c r="K14" s="7">
        <v>43563</v>
      </c>
      <c r="L14" s="8" t="str">
        <f>"000002"</f>
        <v>000002</v>
      </c>
      <c r="M14" s="7">
        <v>43563</v>
      </c>
      <c r="N14" s="8">
        <v>18</v>
      </c>
      <c r="O14" s="8" t="str">
        <f>"001427"</f>
        <v>001427</v>
      </c>
      <c r="P14" s="7">
        <v>43595</v>
      </c>
      <c r="Q14" s="10">
        <v>19.359729999999999</v>
      </c>
      <c r="R14" s="10">
        <v>2.0167700000000002</v>
      </c>
      <c r="S14" s="10">
        <v>17.342960000000001</v>
      </c>
      <c r="T14" s="8">
        <v>41</v>
      </c>
      <c r="U14" s="7">
        <v>43598</v>
      </c>
      <c r="V14" s="8">
        <v>9845485047</v>
      </c>
      <c r="W14" s="9" t="s">
        <v>62</v>
      </c>
      <c r="X14" s="8" t="s">
        <v>41</v>
      </c>
      <c r="Y14" s="9" t="s">
        <v>42</v>
      </c>
      <c r="Z14" s="8" t="s">
        <v>48</v>
      </c>
      <c r="AA14" s="9" t="s">
        <v>49</v>
      </c>
      <c r="AB14" s="10">
        <f t="shared" si="0"/>
        <v>0.1935973</v>
      </c>
    </row>
    <row r="15" spans="1:28" s="4" customFormat="1" ht="13" x14ac:dyDescent="0.3">
      <c r="A15" s="5">
        <v>861</v>
      </c>
      <c r="B15" s="6" t="s">
        <v>33</v>
      </c>
      <c r="C15" s="7">
        <v>43623</v>
      </c>
      <c r="D15" s="8">
        <v>25</v>
      </c>
      <c r="E15" s="9" t="s">
        <v>44</v>
      </c>
      <c r="F15" s="8" t="s">
        <v>52</v>
      </c>
      <c r="G15" s="9" t="s">
        <v>53</v>
      </c>
      <c r="H15" s="8" t="str">
        <f>"000020"</f>
        <v>000020</v>
      </c>
      <c r="I15" s="7">
        <v>42625</v>
      </c>
      <c r="J15" s="8" t="str">
        <f>"000007"</f>
        <v>000007</v>
      </c>
      <c r="K15" s="7">
        <v>43599</v>
      </c>
      <c r="L15" s="8" t="str">
        <f>"000007"</f>
        <v>000007</v>
      </c>
      <c r="M15" s="7">
        <v>43599</v>
      </c>
      <c r="N15" s="8">
        <v>16</v>
      </c>
      <c r="O15" s="8" t="str">
        <f>"002347"</f>
        <v>002347</v>
      </c>
      <c r="P15" s="7">
        <v>43617</v>
      </c>
      <c r="Q15" s="10">
        <v>23.916450000000001</v>
      </c>
      <c r="R15" s="10">
        <v>2.8797999999999999</v>
      </c>
      <c r="S15" s="10">
        <v>21.036650000000002</v>
      </c>
      <c r="T15" s="8">
        <v>73</v>
      </c>
      <c r="U15" s="7">
        <v>43623</v>
      </c>
      <c r="V15" s="8">
        <v>9980796171</v>
      </c>
      <c r="W15" s="9" t="s">
        <v>54</v>
      </c>
      <c r="X15" s="8" t="s">
        <v>29</v>
      </c>
      <c r="Y15" s="9" t="s">
        <v>30</v>
      </c>
      <c r="Z15" s="8" t="s">
        <v>55</v>
      </c>
      <c r="AA15" s="9" t="s">
        <v>56</v>
      </c>
      <c r="AB15" s="10">
        <v>0.2391645</v>
      </c>
    </row>
    <row r="16" spans="1:28" s="4" customFormat="1" ht="13" x14ac:dyDescent="0.3">
      <c r="A16" s="5">
        <v>862</v>
      </c>
      <c r="B16" s="6" t="s">
        <v>33</v>
      </c>
      <c r="C16" s="7">
        <v>43628</v>
      </c>
      <c r="D16" s="8">
        <v>25</v>
      </c>
      <c r="E16" s="9" t="s">
        <v>44</v>
      </c>
      <c r="F16" s="8" t="s">
        <v>57</v>
      </c>
      <c r="G16" s="9" t="s">
        <v>58</v>
      </c>
      <c r="H16" s="8" t="str">
        <f>"000265"</f>
        <v>000265</v>
      </c>
      <c r="I16" s="7">
        <v>42068</v>
      </c>
      <c r="J16" s="8" t="str">
        <f>"000050"</f>
        <v>000050</v>
      </c>
      <c r="K16" s="7">
        <v>42916</v>
      </c>
      <c r="L16" s="8" t="str">
        <f>"000180"</f>
        <v>000180</v>
      </c>
      <c r="M16" s="7">
        <v>42916</v>
      </c>
      <c r="N16" s="8">
        <v>16</v>
      </c>
      <c r="O16" s="8" t="str">
        <f>"002407"</f>
        <v>002407</v>
      </c>
      <c r="P16" s="7">
        <v>43622</v>
      </c>
      <c r="Q16" s="10">
        <v>5.0832699999999997</v>
      </c>
      <c r="R16" s="10">
        <v>0.36242999999999997</v>
      </c>
      <c r="S16" s="10">
        <v>4.7208399999999999</v>
      </c>
      <c r="T16" s="8">
        <v>76</v>
      </c>
      <c r="U16" s="7">
        <v>43628</v>
      </c>
      <c r="V16" s="8">
        <v>9845031197</v>
      </c>
      <c r="W16" s="9" t="s">
        <v>59</v>
      </c>
      <c r="X16" s="8" t="s">
        <v>34</v>
      </c>
      <c r="Y16" s="9" t="s">
        <v>35</v>
      </c>
      <c r="Z16" s="8" t="s">
        <v>48</v>
      </c>
      <c r="AA16" s="9" t="s">
        <v>49</v>
      </c>
      <c r="AB16" s="10">
        <v>5.0832699999999995E-2</v>
      </c>
    </row>
    <row r="17" spans="1:28" s="4" customFormat="1" ht="13" x14ac:dyDescent="0.3">
      <c r="A17" s="5">
        <v>863</v>
      </c>
      <c r="B17" s="6" t="s">
        <v>33</v>
      </c>
      <c r="C17" s="7">
        <v>43629</v>
      </c>
      <c r="D17" s="8">
        <v>25</v>
      </c>
      <c r="E17" s="9" t="s">
        <v>44</v>
      </c>
      <c r="F17" s="8" t="s">
        <v>60</v>
      </c>
      <c r="G17" s="9" t="s">
        <v>61</v>
      </c>
      <c r="H17" s="8" t="str">
        <f>"000419"</f>
        <v>000419</v>
      </c>
      <c r="I17" s="7">
        <v>43535</v>
      </c>
      <c r="J17" s="8" t="str">
        <f>"000015"</f>
        <v>000015</v>
      </c>
      <c r="K17" s="7">
        <v>43609</v>
      </c>
      <c r="L17" s="8" t="str">
        <f>"000034"</f>
        <v>000034</v>
      </c>
      <c r="M17" s="7">
        <v>43609</v>
      </c>
      <c r="N17" s="8">
        <v>19</v>
      </c>
      <c r="O17" s="8" t="str">
        <f>"002561"</f>
        <v>002561</v>
      </c>
      <c r="P17" s="7">
        <v>43626</v>
      </c>
      <c r="Q17" s="10">
        <v>53.705820000000003</v>
      </c>
      <c r="R17" s="10">
        <v>3.0925799999999999</v>
      </c>
      <c r="S17" s="10">
        <v>50.613239999999998</v>
      </c>
      <c r="T17" s="8">
        <v>81</v>
      </c>
      <c r="U17" s="7">
        <v>43629</v>
      </c>
      <c r="V17" s="8">
        <v>9845485047</v>
      </c>
      <c r="W17" s="9" t="s">
        <v>62</v>
      </c>
      <c r="X17" s="8" t="s">
        <v>63</v>
      </c>
      <c r="Y17" s="9" t="s">
        <v>64</v>
      </c>
      <c r="Z17" s="8" t="s">
        <v>48</v>
      </c>
      <c r="AA17" s="9" t="s">
        <v>49</v>
      </c>
      <c r="AB17" s="10">
        <v>0.53705820000000004</v>
      </c>
    </row>
    <row r="18" spans="1:28" s="4" customFormat="1" ht="13" x14ac:dyDescent="0.3">
      <c r="A18" s="5">
        <v>864</v>
      </c>
      <c r="B18" s="6" t="s">
        <v>70</v>
      </c>
      <c r="C18" s="7">
        <v>43647</v>
      </c>
      <c r="D18" s="8">
        <v>25</v>
      </c>
      <c r="E18" s="9" t="s">
        <v>44</v>
      </c>
      <c r="F18" s="8" t="s">
        <v>71</v>
      </c>
      <c r="G18" s="11" t="s">
        <v>72</v>
      </c>
      <c r="H18" s="8" t="str">
        <f>"000387"</f>
        <v>000387</v>
      </c>
      <c r="I18" s="7">
        <v>43519</v>
      </c>
      <c r="J18" s="8" t="str">
        <f>"000004"</f>
        <v>000004</v>
      </c>
      <c r="K18" s="7">
        <v>43589</v>
      </c>
      <c r="L18" s="8" t="str">
        <f>"000008"</f>
        <v>000008</v>
      </c>
      <c r="M18" s="7">
        <v>43589</v>
      </c>
      <c r="N18" s="8">
        <v>19</v>
      </c>
      <c r="O18" s="8" t="str">
        <f>"002969"</f>
        <v>002969</v>
      </c>
      <c r="P18" s="7">
        <v>43640</v>
      </c>
      <c r="Q18" s="12">
        <v>53.200009999999999</v>
      </c>
      <c r="R18" s="12">
        <v>6.1308299999999996</v>
      </c>
      <c r="S18" s="12">
        <v>47.069180000000003</v>
      </c>
      <c r="T18" s="8">
        <v>97</v>
      </c>
      <c r="U18" s="7">
        <v>43647</v>
      </c>
      <c r="V18" s="8">
        <v>9845485047</v>
      </c>
      <c r="W18" s="11" t="s">
        <v>62</v>
      </c>
      <c r="X18" s="8" t="s">
        <v>73</v>
      </c>
      <c r="Y18" s="11" t="s">
        <v>74</v>
      </c>
      <c r="Z18" s="8" t="s">
        <v>48</v>
      </c>
      <c r="AA18" s="11" t="s">
        <v>49</v>
      </c>
      <c r="AB18" s="12">
        <f t="shared" ref="AB18:AB53" si="2">Q18/100</f>
        <v>0.53200009999999998</v>
      </c>
    </row>
    <row r="19" spans="1:28" s="4" customFormat="1" ht="13" x14ac:dyDescent="0.3">
      <c r="A19" s="5">
        <v>865</v>
      </c>
      <c r="B19" s="6" t="s">
        <v>70</v>
      </c>
      <c r="C19" s="7">
        <v>43647</v>
      </c>
      <c r="D19" s="8">
        <v>25</v>
      </c>
      <c r="E19" s="9" t="s">
        <v>44</v>
      </c>
      <c r="F19" s="8" t="s">
        <v>75</v>
      </c>
      <c r="G19" s="11" t="s">
        <v>76</v>
      </c>
      <c r="H19" s="8" t="str">
        <f>"000389"</f>
        <v>000389</v>
      </c>
      <c r="I19" s="7">
        <v>43519</v>
      </c>
      <c r="J19" s="8" t="str">
        <f>"000005"</f>
        <v>000005</v>
      </c>
      <c r="K19" s="7">
        <v>43589</v>
      </c>
      <c r="L19" s="8" t="str">
        <f>"000009"</f>
        <v>000009</v>
      </c>
      <c r="M19" s="7">
        <v>43589</v>
      </c>
      <c r="N19" s="8">
        <v>19</v>
      </c>
      <c r="O19" s="8" t="str">
        <f>"002970"</f>
        <v>002970</v>
      </c>
      <c r="P19" s="7">
        <v>43640</v>
      </c>
      <c r="Q19" s="12">
        <v>53.902880000000003</v>
      </c>
      <c r="R19" s="12">
        <v>6.3096500000000004</v>
      </c>
      <c r="S19" s="12">
        <v>47.593229999999998</v>
      </c>
      <c r="T19" s="8">
        <v>97</v>
      </c>
      <c r="U19" s="7">
        <v>43647</v>
      </c>
      <c r="V19" s="8">
        <v>9972999991</v>
      </c>
      <c r="W19" s="11" t="s">
        <v>77</v>
      </c>
      <c r="X19" s="8" t="s">
        <v>73</v>
      </c>
      <c r="Y19" s="11" t="s">
        <v>74</v>
      </c>
      <c r="Z19" s="8" t="s">
        <v>48</v>
      </c>
      <c r="AA19" s="11" t="s">
        <v>49</v>
      </c>
      <c r="AB19" s="12">
        <f t="shared" si="2"/>
        <v>0.53902880000000009</v>
      </c>
    </row>
    <row r="20" spans="1:28" s="4" customFormat="1" ht="13" x14ac:dyDescent="0.3">
      <c r="A20" s="5">
        <v>866</v>
      </c>
      <c r="B20" s="6" t="s">
        <v>70</v>
      </c>
      <c r="C20" s="7">
        <v>43647</v>
      </c>
      <c r="D20" s="8">
        <v>25</v>
      </c>
      <c r="E20" s="9" t="s">
        <v>44</v>
      </c>
      <c r="F20" s="8" t="s">
        <v>78</v>
      </c>
      <c r="G20" s="11" t="s">
        <v>79</v>
      </c>
      <c r="H20" s="8" t="str">
        <f>"000386"</f>
        <v>000386</v>
      </c>
      <c r="I20" s="7">
        <v>43519</v>
      </c>
      <c r="J20" s="8" t="str">
        <f>"000006"</f>
        <v>000006</v>
      </c>
      <c r="K20" s="7">
        <v>43594</v>
      </c>
      <c r="L20" s="8" t="str">
        <f>"000013"</f>
        <v>000013</v>
      </c>
      <c r="M20" s="7">
        <v>43594</v>
      </c>
      <c r="N20" s="8">
        <v>19</v>
      </c>
      <c r="O20" s="8" t="str">
        <f>"002995"</f>
        <v>002995</v>
      </c>
      <c r="P20" s="7">
        <v>43640</v>
      </c>
      <c r="Q20" s="12">
        <v>52.157359999999997</v>
      </c>
      <c r="R20" s="12">
        <v>5.80497</v>
      </c>
      <c r="S20" s="12">
        <v>46.35239</v>
      </c>
      <c r="T20" s="8">
        <v>97</v>
      </c>
      <c r="U20" s="7">
        <v>43647</v>
      </c>
      <c r="V20" s="8">
        <v>9845485047</v>
      </c>
      <c r="W20" s="11" t="s">
        <v>62</v>
      </c>
      <c r="X20" s="8" t="s">
        <v>73</v>
      </c>
      <c r="Y20" s="11" t="s">
        <v>74</v>
      </c>
      <c r="Z20" s="8" t="s">
        <v>48</v>
      </c>
      <c r="AA20" s="11" t="s">
        <v>49</v>
      </c>
      <c r="AB20" s="12">
        <f t="shared" si="2"/>
        <v>0.52157359999999997</v>
      </c>
    </row>
    <row r="21" spans="1:28" s="4" customFormat="1" ht="13" x14ac:dyDescent="0.3">
      <c r="A21" s="5">
        <v>867</v>
      </c>
      <c r="B21" s="6" t="s">
        <v>70</v>
      </c>
      <c r="C21" s="7">
        <v>43647</v>
      </c>
      <c r="D21" s="8">
        <v>25</v>
      </c>
      <c r="E21" s="9" t="s">
        <v>44</v>
      </c>
      <c r="F21" s="8" t="s">
        <v>80</v>
      </c>
      <c r="G21" s="11" t="s">
        <v>81</v>
      </c>
      <c r="H21" s="8" t="str">
        <f>"000388"</f>
        <v>000388</v>
      </c>
      <c r="I21" s="7">
        <v>43519</v>
      </c>
      <c r="J21" s="8" t="str">
        <f>"000007"</f>
        <v>000007</v>
      </c>
      <c r="K21" s="7">
        <v>43594</v>
      </c>
      <c r="L21" s="8" t="str">
        <f>"000014"</f>
        <v>000014</v>
      </c>
      <c r="M21" s="7">
        <v>43594</v>
      </c>
      <c r="N21" s="8">
        <v>19</v>
      </c>
      <c r="O21" s="8" t="str">
        <f>"002996"</f>
        <v>002996</v>
      </c>
      <c r="P21" s="7">
        <v>43640</v>
      </c>
      <c r="Q21" s="12">
        <v>52.442439999999998</v>
      </c>
      <c r="R21" s="12">
        <v>5.9222000000000001</v>
      </c>
      <c r="S21" s="12">
        <v>46.520240000000001</v>
      </c>
      <c r="T21" s="8">
        <v>97</v>
      </c>
      <c r="U21" s="7">
        <v>43647</v>
      </c>
      <c r="V21" s="8">
        <v>9972999991</v>
      </c>
      <c r="W21" s="11" t="s">
        <v>82</v>
      </c>
      <c r="X21" s="8" t="s">
        <v>73</v>
      </c>
      <c r="Y21" s="11" t="s">
        <v>74</v>
      </c>
      <c r="Z21" s="8" t="s">
        <v>48</v>
      </c>
      <c r="AA21" s="11" t="s">
        <v>49</v>
      </c>
      <c r="AB21" s="12">
        <f t="shared" si="2"/>
        <v>0.52442440000000001</v>
      </c>
    </row>
    <row r="22" spans="1:28" s="4" customFormat="1" ht="13" x14ac:dyDescent="0.3">
      <c r="A22" s="5">
        <v>868</v>
      </c>
      <c r="B22" s="6" t="s">
        <v>70</v>
      </c>
      <c r="C22" s="7">
        <v>43672</v>
      </c>
      <c r="D22" s="8">
        <v>25</v>
      </c>
      <c r="E22" s="9" t="s">
        <v>44</v>
      </c>
      <c r="F22" s="8" t="s">
        <v>83</v>
      </c>
      <c r="G22" s="11" t="s">
        <v>84</v>
      </c>
      <c r="H22" s="8" t="str">
        <f>"000385"</f>
        <v>000385</v>
      </c>
      <c r="I22" s="7">
        <v>43519</v>
      </c>
      <c r="J22" s="8" t="str">
        <f>"000021"</f>
        <v>000021</v>
      </c>
      <c r="K22" s="7">
        <v>43637</v>
      </c>
      <c r="L22" s="8" t="str">
        <f>"000075"</f>
        <v>000075</v>
      </c>
      <c r="M22" s="7">
        <v>43644</v>
      </c>
      <c r="N22" s="8">
        <v>19</v>
      </c>
      <c r="O22" s="8" t="str">
        <f>"003840"</f>
        <v>003840</v>
      </c>
      <c r="P22" s="7">
        <v>43665</v>
      </c>
      <c r="Q22" s="12">
        <v>52.96978</v>
      </c>
      <c r="R22" s="12">
        <v>5.8572899999999999</v>
      </c>
      <c r="S22" s="12">
        <v>47.112490000000001</v>
      </c>
      <c r="T22" s="8">
        <v>127</v>
      </c>
      <c r="U22" s="7">
        <v>43672</v>
      </c>
      <c r="V22" s="8">
        <v>9448446520</v>
      </c>
      <c r="W22" s="11" t="s">
        <v>85</v>
      </c>
      <c r="X22" s="8" t="s">
        <v>73</v>
      </c>
      <c r="Y22" s="11" t="s">
        <v>74</v>
      </c>
      <c r="Z22" s="8" t="s">
        <v>48</v>
      </c>
      <c r="AA22" s="11" t="s">
        <v>49</v>
      </c>
      <c r="AB22" s="12">
        <f t="shared" si="2"/>
        <v>0.5296978</v>
      </c>
    </row>
    <row r="23" spans="1:28" s="4" customFormat="1" ht="13" x14ac:dyDescent="0.3">
      <c r="A23" s="5">
        <v>869</v>
      </c>
      <c r="B23" s="6" t="s">
        <v>70</v>
      </c>
      <c r="C23" s="7">
        <v>43672</v>
      </c>
      <c r="D23" s="8">
        <v>25</v>
      </c>
      <c r="E23" s="9" t="s">
        <v>44</v>
      </c>
      <c r="F23" s="8" t="s">
        <v>86</v>
      </c>
      <c r="G23" s="11" t="s">
        <v>87</v>
      </c>
      <c r="H23" s="8" t="str">
        <f>"000391"</f>
        <v>000391</v>
      </c>
      <c r="I23" s="7">
        <v>43519</v>
      </c>
      <c r="J23" s="8" t="str">
        <f>"000023"</f>
        <v>000023</v>
      </c>
      <c r="K23" s="7">
        <v>43637</v>
      </c>
      <c r="L23" s="8" t="str">
        <f>"000076"</f>
        <v>000076</v>
      </c>
      <c r="M23" s="7">
        <v>43644</v>
      </c>
      <c r="N23" s="8">
        <v>19</v>
      </c>
      <c r="O23" s="8" t="str">
        <f>"003841"</f>
        <v>003841</v>
      </c>
      <c r="P23" s="7">
        <v>43665</v>
      </c>
      <c r="Q23" s="12">
        <v>54.382980000000003</v>
      </c>
      <c r="R23" s="12">
        <v>5.9979899999999997</v>
      </c>
      <c r="S23" s="12">
        <v>48.384990000000002</v>
      </c>
      <c r="T23" s="8">
        <v>127</v>
      </c>
      <c r="U23" s="7">
        <v>43672</v>
      </c>
      <c r="V23" s="8">
        <v>9972999991</v>
      </c>
      <c r="W23" s="11" t="s">
        <v>88</v>
      </c>
      <c r="X23" s="8" t="s">
        <v>73</v>
      </c>
      <c r="Y23" s="11" t="s">
        <v>74</v>
      </c>
      <c r="Z23" s="8" t="s">
        <v>48</v>
      </c>
      <c r="AA23" s="11" t="s">
        <v>49</v>
      </c>
      <c r="AB23" s="12">
        <f t="shared" si="2"/>
        <v>0.54382980000000003</v>
      </c>
    </row>
    <row r="24" spans="1:28" s="4" customFormat="1" ht="13" x14ac:dyDescent="0.3">
      <c r="A24" s="5">
        <v>870</v>
      </c>
      <c r="B24" s="6" t="s">
        <v>70</v>
      </c>
      <c r="C24" s="7">
        <v>43672</v>
      </c>
      <c r="D24" s="8">
        <v>25</v>
      </c>
      <c r="E24" s="9" t="s">
        <v>44</v>
      </c>
      <c r="F24" s="8" t="s">
        <v>89</v>
      </c>
      <c r="G24" s="11" t="s">
        <v>90</v>
      </c>
      <c r="H24" s="8" t="str">
        <f>"000390"</f>
        <v>000390</v>
      </c>
      <c r="I24" s="7">
        <v>43519</v>
      </c>
      <c r="J24" s="8" t="str">
        <f>"000022"</f>
        <v>000022</v>
      </c>
      <c r="K24" s="7">
        <v>43637</v>
      </c>
      <c r="L24" s="8" t="str">
        <f>"000082"</f>
        <v>000082</v>
      </c>
      <c r="M24" s="7">
        <v>43647</v>
      </c>
      <c r="N24" s="8">
        <v>19</v>
      </c>
      <c r="O24" s="8" t="str">
        <f>"003842"</f>
        <v>003842</v>
      </c>
      <c r="P24" s="7">
        <v>43665</v>
      </c>
      <c r="Q24" s="12">
        <v>54.369579999999999</v>
      </c>
      <c r="R24" s="12">
        <v>5.9390299999999998</v>
      </c>
      <c r="S24" s="12">
        <v>48.430549999999997</v>
      </c>
      <c r="T24" s="8">
        <v>127</v>
      </c>
      <c r="U24" s="7">
        <v>43672</v>
      </c>
      <c r="V24" s="8">
        <v>9972999991</v>
      </c>
      <c r="W24" s="11" t="s">
        <v>91</v>
      </c>
      <c r="X24" s="8" t="s">
        <v>73</v>
      </c>
      <c r="Y24" s="11" t="s">
        <v>74</v>
      </c>
      <c r="Z24" s="8" t="s">
        <v>48</v>
      </c>
      <c r="AA24" s="11" t="s">
        <v>49</v>
      </c>
      <c r="AB24" s="12">
        <f t="shared" si="2"/>
        <v>0.54369579999999995</v>
      </c>
    </row>
    <row r="25" spans="1:28" s="4" customFormat="1" ht="13" x14ac:dyDescent="0.3">
      <c r="A25" s="5">
        <v>871</v>
      </c>
      <c r="B25" s="6" t="s">
        <v>70</v>
      </c>
      <c r="C25" s="7">
        <v>43672</v>
      </c>
      <c r="D25" s="8">
        <v>25</v>
      </c>
      <c r="E25" s="9" t="s">
        <v>44</v>
      </c>
      <c r="F25" s="8" t="s">
        <v>92</v>
      </c>
      <c r="G25" s="11" t="s">
        <v>93</v>
      </c>
      <c r="H25" s="8" t="str">
        <f>"000392"</f>
        <v>000392</v>
      </c>
      <c r="I25" s="7">
        <v>43519</v>
      </c>
      <c r="J25" s="8" t="str">
        <f>"000024"</f>
        <v>000024</v>
      </c>
      <c r="K25" s="7">
        <v>43637</v>
      </c>
      <c r="L25" s="8" t="str">
        <f>"000083"</f>
        <v>000083</v>
      </c>
      <c r="M25" s="7">
        <v>43647</v>
      </c>
      <c r="N25" s="8">
        <v>19</v>
      </c>
      <c r="O25" s="8" t="str">
        <f>"003843"</f>
        <v>003843</v>
      </c>
      <c r="P25" s="7">
        <v>43665</v>
      </c>
      <c r="Q25" s="12">
        <v>54.376480000000001</v>
      </c>
      <c r="R25" s="12">
        <v>5.9974400000000001</v>
      </c>
      <c r="S25" s="12">
        <v>48.379040000000003</v>
      </c>
      <c r="T25" s="8">
        <v>127</v>
      </c>
      <c r="U25" s="7">
        <v>43672</v>
      </c>
      <c r="V25" s="8">
        <v>9972999991</v>
      </c>
      <c r="W25" s="11" t="s">
        <v>88</v>
      </c>
      <c r="X25" s="8" t="s">
        <v>73</v>
      </c>
      <c r="Y25" s="11" t="s">
        <v>74</v>
      </c>
      <c r="Z25" s="8" t="s">
        <v>48</v>
      </c>
      <c r="AA25" s="11" t="s">
        <v>49</v>
      </c>
      <c r="AB25" s="12">
        <f t="shared" si="2"/>
        <v>0.54376480000000005</v>
      </c>
    </row>
    <row r="26" spans="1:28" s="4" customFormat="1" ht="13" x14ac:dyDescent="0.3">
      <c r="A26" s="5">
        <v>872</v>
      </c>
      <c r="B26" s="6" t="s">
        <v>94</v>
      </c>
      <c r="C26" s="7">
        <v>43679</v>
      </c>
      <c r="D26" s="8">
        <v>25</v>
      </c>
      <c r="E26" s="9" t="s">
        <v>44</v>
      </c>
      <c r="F26" s="8" t="s">
        <v>52</v>
      </c>
      <c r="G26" s="11" t="s">
        <v>53</v>
      </c>
      <c r="H26" s="8" t="str">
        <f>"000020"</f>
        <v>000020</v>
      </c>
      <c r="I26" s="7">
        <v>42625</v>
      </c>
      <c r="J26" s="8" t="str">
        <f>"000053"</f>
        <v>000053</v>
      </c>
      <c r="K26" s="7">
        <v>43782</v>
      </c>
      <c r="L26" s="8" t="str">
        <f>"000051"</f>
        <v>000051</v>
      </c>
      <c r="M26" s="7">
        <v>43782</v>
      </c>
      <c r="N26" s="8">
        <v>16</v>
      </c>
      <c r="O26" s="8" t="str">
        <f>"006355"</f>
        <v>006355</v>
      </c>
      <c r="P26" s="7">
        <v>43794</v>
      </c>
      <c r="Q26" s="12">
        <v>11.95823</v>
      </c>
      <c r="R26" s="12">
        <v>1.6289</v>
      </c>
      <c r="S26" s="12">
        <v>10.329330000000001</v>
      </c>
      <c r="T26" s="8">
        <v>138</v>
      </c>
      <c r="U26" s="7">
        <v>43679</v>
      </c>
      <c r="V26" s="8">
        <v>9980796171</v>
      </c>
      <c r="W26" s="11" t="s">
        <v>54</v>
      </c>
      <c r="X26" s="8" t="s">
        <v>29</v>
      </c>
      <c r="Y26" s="11" t="s">
        <v>30</v>
      </c>
      <c r="Z26" s="8" t="s">
        <v>55</v>
      </c>
      <c r="AA26" s="11" t="s">
        <v>56</v>
      </c>
      <c r="AB26" s="12">
        <f t="shared" si="2"/>
        <v>0.1195823</v>
      </c>
    </row>
    <row r="27" spans="1:28" s="4" customFormat="1" ht="13" x14ac:dyDescent="0.3">
      <c r="A27" s="5">
        <v>873</v>
      </c>
      <c r="B27" s="6" t="s">
        <v>94</v>
      </c>
      <c r="C27" s="7">
        <v>43696</v>
      </c>
      <c r="D27" s="8">
        <v>25</v>
      </c>
      <c r="E27" s="9" t="s">
        <v>44</v>
      </c>
      <c r="F27" s="8" t="s">
        <v>95</v>
      </c>
      <c r="G27" s="11" t="s">
        <v>96</v>
      </c>
      <c r="H27" s="8" t="str">
        <f>"000194"</f>
        <v>000194</v>
      </c>
      <c r="I27" s="7">
        <v>43176</v>
      </c>
      <c r="J27" s="8" t="str">
        <f>"000061"</f>
        <v>000061</v>
      </c>
      <c r="K27" s="7">
        <v>43176</v>
      </c>
      <c r="L27" s="8" t="str">
        <f>"000233"</f>
        <v>000233</v>
      </c>
      <c r="M27" s="7">
        <v>43176</v>
      </c>
      <c r="N27" s="8">
        <v>16</v>
      </c>
      <c r="O27" s="8" t="str">
        <f>"004402"</f>
        <v>004402</v>
      </c>
      <c r="P27" s="7">
        <v>43686</v>
      </c>
      <c r="Q27" s="12">
        <v>6.8603300000000003</v>
      </c>
      <c r="R27" s="12">
        <v>0.83198000000000005</v>
      </c>
      <c r="S27" s="12">
        <v>6.0283499999999997</v>
      </c>
      <c r="T27" s="8">
        <v>158</v>
      </c>
      <c r="U27" s="7">
        <v>43696</v>
      </c>
      <c r="V27" s="8">
        <v>9880640403</v>
      </c>
      <c r="W27" s="11" t="s">
        <v>97</v>
      </c>
      <c r="X27" s="8" t="s">
        <v>34</v>
      </c>
      <c r="Y27" s="11" t="s">
        <v>35</v>
      </c>
      <c r="Z27" s="8" t="s">
        <v>48</v>
      </c>
      <c r="AA27" s="11" t="s">
        <v>49</v>
      </c>
      <c r="AB27" s="12">
        <f t="shared" si="2"/>
        <v>6.8603300000000006E-2</v>
      </c>
    </row>
    <row r="28" spans="1:28" s="4" customFormat="1" ht="13" x14ac:dyDescent="0.3">
      <c r="A28" s="5">
        <v>874</v>
      </c>
      <c r="B28" s="6" t="s">
        <v>94</v>
      </c>
      <c r="C28" s="7">
        <v>43697</v>
      </c>
      <c r="D28" s="8">
        <v>25</v>
      </c>
      <c r="E28" s="9" t="s">
        <v>44</v>
      </c>
      <c r="F28" s="8" t="s">
        <v>98</v>
      </c>
      <c r="G28" s="11" t="s">
        <v>99</v>
      </c>
      <c r="H28" s="8" t="str">
        <f>"000398"</f>
        <v>000398</v>
      </c>
      <c r="I28" s="7">
        <v>43522</v>
      </c>
      <c r="J28" s="8" t="str">
        <f>"000185"</f>
        <v>000185</v>
      </c>
      <c r="K28" s="7">
        <v>43544</v>
      </c>
      <c r="L28" s="8" t="str">
        <f>"000426"</f>
        <v>000426</v>
      </c>
      <c r="M28" s="7">
        <v>43544</v>
      </c>
      <c r="N28" s="8">
        <v>18</v>
      </c>
      <c r="O28" s="8" t="str">
        <f>"004643"</f>
        <v>004643</v>
      </c>
      <c r="P28" s="7">
        <v>43696</v>
      </c>
      <c r="Q28" s="12">
        <v>88.683239999999998</v>
      </c>
      <c r="R28" s="12">
        <v>4.3328100000000003</v>
      </c>
      <c r="S28" s="12">
        <v>84.350430000000003</v>
      </c>
      <c r="T28" s="8">
        <v>160</v>
      </c>
      <c r="U28" s="7">
        <v>43697</v>
      </c>
      <c r="V28" s="8">
        <v>9845024976</v>
      </c>
      <c r="W28" s="11" t="s">
        <v>100</v>
      </c>
      <c r="X28" s="8" t="s">
        <v>101</v>
      </c>
      <c r="Y28" s="11" t="s">
        <v>102</v>
      </c>
      <c r="Z28" s="8" t="s">
        <v>48</v>
      </c>
      <c r="AA28" s="11" t="s">
        <v>49</v>
      </c>
      <c r="AB28" s="12">
        <f t="shared" si="2"/>
        <v>0.88683239999999997</v>
      </c>
    </row>
    <row r="29" spans="1:28" s="4" customFormat="1" ht="13" x14ac:dyDescent="0.3">
      <c r="A29" s="5">
        <v>875</v>
      </c>
      <c r="B29" s="6" t="s">
        <v>94</v>
      </c>
      <c r="C29" s="7">
        <v>43697</v>
      </c>
      <c r="D29" s="8">
        <v>25</v>
      </c>
      <c r="E29" s="9" t="s">
        <v>44</v>
      </c>
      <c r="F29" s="8" t="s">
        <v>103</v>
      </c>
      <c r="G29" s="11" t="s">
        <v>104</v>
      </c>
      <c r="H29" s="8" t="str">
        <f>"000399"</f>
        <v>000399</v>
      </c>
      <c r="I29" s="7">
        <v>43522</v>
      </c>
      <c r="J29" s="8" t="str">
        <f>"000186"</f>
        <v>000186</v>
      </c>
      <c r="K29" s="7">
        <v>43544</v>
      </c>
      <c r="L29" s="8" t="str">
        <f>"000427"</f>
        <v>000427</v>
      </c>
      <c r="M29" s="7">
        <v>43544</v>
      </c>
      <c r="N29" s="8">
        <v>18</v>
      </c>
      <c r="O29" s="8" t="str">
        <f>"004644"</f>
        <v>004644</v>
      </c>
      <c r="P29" s="7">
        <v>43696</v>
      </c>
      <c r="Q29" s="12">
        <v>109.75827</v>
      </c>
      <c r="R29" s="12">
        <v>5.3624900000000002</v>
      </c>
      <c r="S29" s="12">
        <v>104.39578</v>
      </c>
      <c r="T29" s="8">
        <v>160</v>
      </c>
      <c r="U29" s="7">
        <v>43697</v>
      </c>
      <c r="V29" s="8">
        <v>9845024976</v>
      </c>
      <c r="W29" s="11" t="s">
        <v>105</v>
      </c>
      <c r="X29" s="8" t="s">
        <v>101</v>
      </c>
      <c r="Y29" s="11" t="s">
        <v>102</v>
      </c>
      <c r="Z29" s="8" t="s">
        <v>48</v>
      </c>
      <c r="AA29" s="11" t="s">
        <v>49</v>
      </c>
      <c r="AB29" s="12">
        <f t="shared" si="2"/>
        <v>1.0975827</v>
      </c>
    </row>
    <row r="30" spans="1:28" s="4" customFormat="1" ht="13" x14ac:dyDescent="0.3">
      <c r="A30" s="5">
        <v>876</v>
      </c>
      <c r="B30" s="6" t="s">
        <v>94</v>
      </c>
      <c r="C30" s="7">
        <v>43697</v>
      </c>
      <c r="D30" s="8">
        <v>25</v>
      </c>
      <c r="E30" s="9" t="s">
        <v>44</v>
      </c>
      <c r="F30" s="8" t="s">
        <v>106</v>
      </c>
      <c r="G30" s="11" t="s">
        <v>107</v>
      </c>
      <c r="H30" s="8" t="str">
        <f>"000342"</f>
        <v>000342</v>
      </c>
      <c r="I30" s="7">
        <v>43509</v>
      </c>
      <c r="J30" s="8" t="str">
        <f>"000188"</f>
        <v>000188</v>
      </c>
      <c r="K30" s="7">
        <v>43544</v>
      </c>
      <c r="L30" s="8" t="str">
        <f>"000429"</f>
        <v>000429</v>
      </c>
      <c r="M30" s="7">
        <v>43544</v>
      </c>
      <c r="N30" s="8">
        <v>18</v>
      </c>
      <c r="O30" s="8" t="str">
        <f>"004645"</f>
        <v>004645</v>
      </c>
      <c r="P30" s="7">
        <v>43696</v>
      </c>
      <c r="Q30" s="12">
        <v>109.83344</v>
      </c>
      <c r="R30" s="12">
        <v>5.3661500000000002</v>
      </c>
      <c r="S30" s="12">
        <v>104.46729000000001</v>
      </c>
      <c r="T30" s="8">
        <v>160</v>
      </c>
      <c r="U30" s="7">
        <v>43697</v>
      </c>
      <c r="V30" s="8">
        <v>9845024976</v>
      </c>
      <c r="W30" s="11" t="s">
        <v>108</v>
      </c>
      <c r="X30" s="8" t="s">
        <v>101</v>
      </c>
      <c r="Y30" s="11" t="s">
        <v>102</v>
      </c>
      <c r="Z30" s="8" t="s">
        <v>48</v>
      </c>
      <c r="AA30" s="11" t="s">
        <v>49</v>
      </c>
      <c r="AB30" s="12">
        <f t="shared" si="2"/>
        <v>1.0983343999999999</v>
      </c>
    </row>
    <row r="31" spans="1:28" s="4" customFormat="1" ht="13" x14ac:dyDescent="0.3">
      <c r="A31" s="5">
        <v>877</v>
      </c>
      <c r="B31" s="6" t="s">
        <v>94</v>
      </c>
      <c r="C31" s="7">
        <v>43697</v>
      </c>
      <c r="D31" s="8">
        <v>25</v>
      </c>
      <c r="E31" s="9" t="s">
        <v>44</v>
      </c>
      <c r="F31" s="8" t="s">
        <v>109</v>
      </c>
      <c r="G31" s="11" t="s">
        <v>110</v>
      </c>
      <c r="H31" s="8" t="str">
        <f>"000343"</f>
        <v>000343</v>
      </c>
      <c r="I31" s="7">
        <v>43509</v>
      </c>
      <c r="J31" s="8" t="str">
        <f>"000189"</f>
        <v>000189</v>
      </c>
      <c r="K31" s="7">
        <v>43544</v>
      </c>
      <c r="L31" s="8" t="str">
        <f>"000430"</f>
        <v>000430</v>
      </c>
      <c r="M31" s="7">
        <v>43544</v>
      </c>
      <c r="N31" s="8">
        <v>18</v>
      </c>
      <c r="O31" s="8" t="str">
        <f>"004646"</f>
        <v>004646</v>
      </c>
      <c r="P31" s="7">
        <v>43696</v>
      </c>
      <c r="Q31" s="12">
        <v>109.82644000000001</v>
      </c>
      <c r="R31" s="12">
        <v>5.3658000000000001</v>
      </c>
      <c r="S31" s="12">
        <v>104.46064</v>
      </c>
      <c r="T31" s="8">
        <v>160</v>
      </c>
      <c r="U31" s="7">
        <v>43697</v>
      </c>
      <c r="V31" s="8">
        <v>9845024976</v>
      </c>
      <c r="W31" s="11" t="s">
        <v>108</v>
      </c>
      <c r="X31" s="8" t="s">
        <v>101</v>
      </c>
      <c r="Y31" s="11" t="s">
        <v>102</v>
      </c>
      <c r="Z31" s="8" t="s">
        <v>48</v>
      </c>
      <c r="AA31" s="11" t="s">
        <v>49</v>
      </c>
      <c r="AB31" s="12">
        <f t="shared" si="2"/>
        <v>1.0982644000000001</v>
      </c>
    </row>
    <row r="32" spans="1:28" s="4" customFormat="1" ht="13" x14ac:dyDescent="0.3">
      <c r="A32" s="5">
        <v>878</v>
      </c>
      <c r="B32" s="6" t="s">
        <v>94</v>
      </c>
      <c r="C32" s="7">
        <v>43697</v>
      </c>
      <c r="D32" s="8">
        <v>25</v>
      </c>
      <c r="E32" s="9" t="s">
        <v>44</v>
      </c>
      <c r="F32" s="8" t="s">
        <v>111</v>
      </c>
      <c r="G32" s="11" t="s">
        <v>112</v>
      </c>
      <c r="H32" s="8" t="str">
        <f>"000341"</f>
        <v>000341</v>
      </c>
      <c r="I32" s="7">
        <v>43509</v>
      </c>
      <c r="J32" s="8" t="str">
        <f>"000190"</f>
        <v>000190</v>
      </c>
      <c r="K32" s="7">
        <v>43544</v>
      </c>
      <c r="L32" s="8" t="str">
        <f>"000431"</f>
        <v>000431</v>
      </c>
      <c r="M32" s="7">
        <v>43544</v>
      </c>
      <c r="N32" s="8">
        <v>18</v>
      </c>
      <c r="O32" s="8" t="str">
        <f>"004647"</f>
        <v>004647</v>
      </c>
      <c r="P32" s="7">
        <v>43696</v>
      </c>
      <c r="Q32" s="12">
        <v>109.82644000000001</v>
      </c>
      <c r="R32" s="12">
        <v>7.5005800000000002</v>
      </c>
      <c r="S32" s="12">
        <v>102.32586000000001</v>
      </c>
      <c r="T32" s="8">
        <v>160</v>
      </c>
      <c r="U32" s="7">
        <v>43697</v>
      </c>
      <c r="V32" s="8">
        <v>9845024976</v>
      </c>
      <c r="W32" s="11" t="s">
        <v>108</v>
      </c>
      <c r="X32" s="8" t="s">
        <v>101</v>
      </c>
      <c r="Y32" s="11" t="s">
        <v>102</v>
      </c>
      <c r="Z32" s="8" t="s">
        <v>48</v>
      </c>
      <c r="AA32" s="11" t="s">
        <v>49</v>
      </c>
      <c r="AB32" s="12">
        <f t="shared" si="2"/>
        <v>1.0982644000000001</v>
      </c>
    </row>
    <row r="33" spans="1:28" s="4" customFormat="1" ht="13" x14ac:dyDescent="0.3">
      <c r="A33" s="5">
        <v>879</v>
      </c>
      <c r="B33" s="6" t="s">
        <v>94</v>
      </c>
      <c r="C33" s="7">
        <v>43699</v>
      </c>
      <c r="D33" s="8">
        <v>25</v>
      </c>
      <c r="E33" s="9" t="s">
        <v>44</v>
      </c>
      <c r="F33" s="8" t="s">
        <v>45</v>
      </c>
      <c r="G33" s="11" t="s">
        <v>46</v>
      </c>
      <c r="H33" s="8" t="str">
        <f>"000080"</f>
        <v>000080</v>
      </c>
      <c r="I33" s="7">
        <v>43379</v>
      </c>
      <c r="J33" s="8" t="str">
        <f>"000122"</f>
        <v>000122</v>
      </c>
      <c r="K33" s="7">
        <v>43462</v>
      </c>
      <c r="L33" s="8" t="str">
        <f>"000302"</f>
        <v>000302</v>
      </c>
      <c r="M33" s="7">
        <v>43462</v>
      </c>
      <c r="N33" s="8">
        <v>18</v>
      </c>
      <c r="O33" s="8" t="str">
        <f>"004718"</f>
        <v>004718</v>
      </c>
      <c r="P33" s="7">
        <v>43699</v>
      </c>
      <c r="Q33" s="12">
        <v>63.112789999999997</v>
      </c>
      <c r="R33" s="12">
        <v>4.0764500000000004</v>
      </c>
      <c r="S33" s="12">
        <v>59.036340000000003</v>
      </c>
      <c r="T33" s="8">
        <v>162</v>
      </c>
      <c r="U33" s="7">
        <v>43699</v>
      </c>
      <c r="V33" s="8">
        <v>9342551777</v>
      </c>
      <c r="W33" s="11" t="s">
        <v>47</v>
      </c>
      <c r="X33" s="8" t="s">
        <v>31</v>
      </c>
      <c r="Y33" s="11" t="s">
        <v>32</v>
      </c>
      <c r="Z33" s="8" t="s">
        <v>48</v>
      </c>
      <c r="AA33" s="11" t="s">
        <v>49</v>
      </c>
      <c r="AB33" s="12">
        <f t="shared" si="2"/>
        <v>0.63112789999999996</v>
      </c>
    </row>
    <row r="34" spans="1:28" s="4" customFormat="1" ht="13" x14ac:dyDescent="0.3">
      <c r="A34" s="5">
        <v>880</v>
      </c>
      <c r="B34" s="6" t="s">
        <v>94</v>
      </c>
      <c r="C34" s="7">
        <v>43699</v>
      </c>
      <c r="D34" s="8">
        <v>25</v>
      </c>
      <c r="E34" s="9" t="s">
        <v>44</v>
      </c>
      <c r="F34" s="8" t="s">
        <v>45</v>
      </c>
      <c r="G34" s="11" t="s">
        <v>46</v>
      </c>
      <c r="H34" s="8" t="str">
        <f>"000080"</f>
        <v>000080</v>
      </c>
      <c r="I34" s="7">
        <v>43379</v>
      </c>
      <c r="J34" s="8" t="str">
        <f>"000122"</f>
        <v>000122</v>
      </c>
      <c r="K34" s="7">
        <v>43462</v>
      </c>
      <c r="L34" s="8" t="str">
        <f>"000302"</f>
        <v>000302</v>
      </c>
      <c r="M34" s="7">
        <v>43462</v>
      </c>
      <c r="N34" s="8">
        <v>18</v>
      </c>
      <c r="O34" s="8" t="str">
        <f>"004718"</f>
        <v>004718</v>
      </c>
      <c r="P34" s="7">
        <v>43699</v>
      </c>
      <c r="Q34" s="12">
        <v>60.820059999999998</v>
      </c>
      <c r="R34" s="12">
        <v>3.9260799999999998</v>
      </c>
      <c r="S34" s="12">
        <v>56.893979999999999</v>
      </c>
      <c r="T34" s="8">
        <v>162</v>
      </c>
      <c r="U34" s="7">
        <v>43699</v>
      </c>
      <c r="V34" s="8">
        <v>9342551777</v>
      </c>
      <c r="W34" s="11" t="s">
        <v>47</v>
      </c>
      <c r="X34" s="8" t="s">
        <v>31</v>
      </c>
      <c r="Y34" s="11" t="s">
        <v>32</v>
      </c>
      <c r="Z34" s="8" t="s">
        <v>48</v>
      </c>
      <c r="AA34" s="11" t="s">
        <v>49</v>
      </c>
      <c r="AB34" s="12">
        <f t="shared" si="2"/>
        <v>0.60820059999999998</v>
      </c>
    </row>
    <row r="35" spans="1:28" s="4" customFormat="1" ht="13" x14ac:dyDescent="0.3">
      <c r="A35" s="5">
        <v>881</v>
      </c>
      <c r="B35" s="6" t="s">
        <v>94</v>
      </c>
      <c r="C35" s="7">
        <v>43699</v>
      </c>
      <c r="D35" s="8">
        <v>25</v>
      </c>
      <c r="E35" s="9" t="s">
        <v>44</v>
      </c>
      <c r="F35" s="8" t="s">
        <v>45</v>
      </c>
      <c r="G35" s="11" t="s">
        <v>46</v>
      </c>
      <c r="H35" s="8" t="str">
        <f>"000080"</f>
        <v>000080</v>
      </c>
      <c r="I35" s="7">
        <v>43379</v>
      </c>
      <c r="J35" s="8" t="str">
        <f>"000122"</f>
        <v>000122</v>
      </c>
      <c r="K35" s="7">
        <v>43462</v>
      </c>
      <c r="L35" s="8" t="str">
        <f>"000302"</f>
        <v>000302</v>
      </c>
      <c r="M35" s="7">
        <v>43462</v>
      </c>
      <c r="N35" s="8">
        <v>18</v>
      </c>
      <c r="O35" s="8" t="str">
        <f>"004718"</f>
        <v>004718</v>
      </c>
      <c r="P35" s="7">
        <v>43699</v>
      </c>
      <c r="Q35" s="12">
        <v>61.969929999999998</v>
      </c>
      <c r="R35" s="12">
        <v>4.3196599999999998</v>
      </c>
      <c r="S35" s="12">
        <v>57.650269999999999</v>
      </c>
      <c r="T35" s="8">
        <v>162</v>
      </c>
      <c r="U35" s="7">
        <v>43699</v>
      </c>
      <c r="V35" s="8">
        <v>9342551777</v>
      </c>
      <c r="W35" s="11" t="s">
        <v>47</v>
      </c>
      <c r="X35" s="8" t="s">
        <v>31</v>
      </c>
      <c r="Y35" s="11" t="s">
        <v>32</v>
      </c>
      <c r="Z35" s="8" t="s">
        <v>48</v>
      </c>
      <c r="AA35" s="11" t="s">
        <v>49</v>
      </c>
      <c r="AB35" s="12">
        <f t="shared" si="2"/>
        <v>0.61969929999999995</v>
      </c>
    </row>
    <row r="36" spans="1:28" s="4" customFormat="1" ht="13" x14ac:dyDescent="0.3">
      <c r="A36" s="5">
        <v>882</v>
      </c>
      <c r="B36" s="6" t="s">
        <v>94</v>
      </c>
      <c r="C36" s="7">
        <v>43699</v>
      </c>
      <c r="D36" s="8">
        <v>25</v>
      </c>
      <c r="E36" s="9" t="s">
        <v>44</v>
      </c>
      <c r="F36" s="8" t="s">
        <v>45</v>
      </c>
      <c r="G36" s="11" t="s">
        <v>46</v>
      </c>
      <c r="H36" s="8" t="str">
        <f>"000080"</f>
        <v>000080</v>
      </c>
      <c r="I36" s="7">
        <v>43379</v>
      </c>
      <c r="J36" s="8" t="str">
        <f>"000122"</f>
        <v>000122</v>
      </c>
      <c r="K36" s="7">
        <v>43462</v>
      </c>
      <c r="L36" s="8" t="str">
        <f>"000302"</f>
        <v>000302</v>
      </c>
      <c r="M36" s="7">
        <v>43462</v>
      </c>
      <c r="N36" s="8">
        <v>18</v>
      </c>
      <c r="O36" s="8" t="str">
        <f>"004718"</f>
        <v>004718</v>
      </c>
      <c r="P36" s="7">
        <v>43699</v>
      </c>
      <c r="Q36" s="12">
        <v>73.999579999999995</v>
      </c>
      <c r="R36" s="12">
        <v>4.9582499999999996</v>
      </c>
      <c r="S36" s="12">
        <v>69.041330000000002</v>
      </c>
      <c r="T36" s="8">
        <v>162</v>
      </c>
      <c r="U36" s="7">
        <v>43699</v>
      </c>
      <c r="V36" s="8">
        <v>9342551777</v>
      </c>
      <c r="W36" s="11" t="s">
        <v>47</v>
      </c>
      <c r="X36" s="8" t="s">
        <v>31</v>
      </c>
      <c r="Y36" s="11" t="s">
        <v>32</v>
      </c>
      <c r="Z36" s="8" t="s">
        <v>48</v>
      </c>
      <c r="AA36" s="11" t="s">
        <v>49</v>
      </c>
      <c r="AB36" s="12">
        <f t="shared" si="2"/>
        <v>0.73999579999999998</v>
      </c>
    </row>
    <row r="37" spans="1:28" s="4" customFormat="1" ht="13" x14ac:dyDescent="0.3">
      <c r="A37" s="5">
        <v>883</v>
      </c>
      <c r="B37" s="6" t="s">
        <v>94</v>
      </c>
      <c r="C37" s="7">
        <v>43699</v>
      </c>
      <c r="D37" s="8">
        <v>25</v>
      </c>
      <c r="E37" s="9" t="s">
        <v>44</v>
      </c>
      <c r="F37" s="8" t="s">
        <v>45</v>
      </c>
      <c r="G37" s="11" t="s">
        <v>46</v>
      </c>
      <c r="H37" s="8" t="str">
        <f>"000080"</f>
        <v>000080</v>
      </c>
      <c r="I37" s="7">
        <v>43379</v>
      </c>
      <c r="J37" s="8" t="str">
        <f>"000122"</f>
        <v>000122</v>
      </c>
      <c r="K37" s="7">
        <v>43462</v>
      </c>
      <c r="L37" s="8" t="str">
        <f>"000302"</f>
        <v>000302</v>
      </c>
      <c r="M37" s="7">
        <v>43462</v>
      </c>
      <c r="N37" s="8">
        <v>18</v>
      </c>
      <c r="O37" s="8" t="str">
        <f>"004718"</f>
        <v>004718</v>
      </c>
      <c r="P37" s="7">
        <v>43699</v>
      </c>
      <c r="Q37" s="12">
        <v>54.563839999999999</v>
      </c>
      <c r="R37" s="12">
        <v>18.317360000000001</v>
      </c>
      <c r="S37" s="12">
        <v>36.246479999999998</v>
      </c>
      <c r="T37" s="8">
        <v>162</v>
      </c>
      <c r="U37" s="7">
        <v>43699</v>
      </c>
      <c r="V37" s="8">
        <v>9342551777</v>
      </c>
      <c r="W37" s="11" t="s">
        <v>47</v>
      </c>
      <c r="X37" s="8" t="s">
        <v>31</v>
      </c>
      <c r="Y37" s="11" t="s">
        <v>32</v>
      </c>
      <c r="Z37" s="8" t="s">
        <v>48</v>
      </c>
      <c r="AA37" s="11" t="s">
        <v>49</v>
      </c>
      <c r="AB37" s="12">
        <f t="shared" si="2"/>
        <v>0.54563839999999997</v>
      </c>
    </row>
    <row r="38" spans="1:28" s="4" customFormat="1" ht="13" x14ac:dyDescent="0.3">
      <c r="A38" s="5">
        <v>884</v>
      </c>
      <c r="B38" s="6" t="s">
        <v>94</v>
      </c>
      <c r="C38" s="7">
        <v>43705</v>
      </c>
      <c r="D38" s="8">
        <v>25</v>
      </c>
      <c r="E38" s="9" t="s">
        <v>44</v>
      </c>
      <c r="F38" s="8" t="s">
        <v>60</v>
      </c>
      <c r="G38" s="11" t="s">
        <v>61</v>
      </c>
      <c r="H38" s="8" t="str">
        <f>"000419"</f>
        <v>000419</v>
      </c>
      <c r="I38" s="7">
        <v>43535</v>
      </c>
      <c r="J38" s="8" t="str">
        <f>"000050"</f>
        <v>000050</v>
      </c>
      <c r="K38" s="7">
        <v>43703</v>
      </c>
      <c r="L38" s="8" t="str">
        <f>"000131"</f>
        <v>000131</v>
      </c>
      <c r="M38" s="7">
        <v>43704</v>
      </c>
      <c r="N38" s="8">
        <v>19</v>
      </c>
      <c r="O38" s="8" t="str">
        <f>"004979"</f>
        <v>004979</v>
      </c>
      <c r="P38" s="7">
        <v>43717</v>
      </c>
      <c r="Q38" s="12">
        <v>53.933210000000003</v>
      </c>
      <c r="R38" s="12">
        <v>3.06792</v>
      </c>
      <c r="S38" s="12">
        <v>50.865290000000002</v>
      </c>
      <c r="T38" s="8">
        <v>168</v>
      </c>
      <c r="U38" s="7">
        <v>43705</v>
      </c>
      <c r="V38" s="8">
        <v>9845485047</v>
      </c>
      <c r="W38" s="11" t="s">
        <v>62</v>
      </c>
      <c r="X38" s="8" t="s">
        <v>63</v>
      </c>
      <c r="Y38" s="11" t="s">
        <v>64</v>
      </c>
      <c r="Z38" s="8" t="s">
        <v>48</v>
      </c>
      <c r="AA38" s="11" t="s">
        <v>49</v>
      </c>
      <c r="AB38" s="12">
        <f t="shared" si="2"/>
        <v>0.53933209999999998</v>
      </c>
    </row>
    <row r="39" spans="1:28" s="4" customFormat="1" ht="13" x14ac:dyDescent="0.3">
      <c r="A39" s="5">
        <v>885</v>
      </c>
      <c r="B39" s="6" t="s">
        <v>113</v>
      </c>
      <c r="C39" s="7">
        <v>43717</v>
      </c>
      <c r="D39" s="8">
        <v>25</v>
      </c>
      <c r="E39" s="9" t="s">
        <v>44</v>
      </c>
      <c r="F39" s="8" t="s">
        <v>114</v>
      </c>
      <c r="G39" s="11" t="s">
        <v>115</v>
      </c>
      <c r="H39" s="8" t="str">
        <f>"000407"</f>
        <v>000407</v>
      </c>
      <c r="I39" s="7">
        <v>43530</v>
      </c>
      <c r="J39" s="8" t="str">
        <f>"000031"</f>
        <v>000031</v>
      </c>
      <c r="K39" s="7">
        <v>43662</v>
      </c>
      <c r="L39" s="8" t="str">
        <f>"000096"</f>
        <v>000096</v>
      </c>
      <c r="M39" s="7">
        <v>43662</v>
      </c>
      <c r="N39" s="8">
        <v>19</v>
      </c>
      <c r="O39" s="8" t="str">
        <f>"004756"</f>
        <v>004756</v>
      </c>
      <c r="P39" s="7">
        <v>43703</v>
      </c>
      <c r="Q39" s="12">
        <v>5.24986</v>
      </c>
      <c r="R39" s="12">
        <v>0.46805999999999998</v>
      </c>
      <c r="S39" s="12">
        <v>4.7817999999999996</v>
      </c>
      <c r="T39" s="8">
        <v>178</v>
      </c>
      <c r="U39" s="7">
        <v>43717</v>
      </c>
      <c r="V39" s="8">
        <v>9343722590</v>
      </c>
      <c r="W39" s="11" t="s">
        <v>116</v>
      </c>
      <c r="X39" s="8" t="s">
        <v>117</v>
      </c>
      <c r="Y39" s="11" t="s">
        <v>118</v>
      </c>
      <c r="Z39" s="8" t="s">
        <v>48</v>
      </c>
      <c r="AA39" s="11" t="s">
        <v>49</v>
      </c>
      <c r="AB39" s="12">
        <f t="shared" si="2"/>
        <v>5.2498599999999999E-2</v>
      </c>
    </row>
    <row r="40" spans="1:28" s="4" customFormat="1" ht="13" x14ac:dyDescent="0.3">
      <c r="A40" s="5">
        <v>886</v>
      </c>
      <c r="B40" s="6" t="s">
        <v>113</v>
      </c>
      <c r="C40" s="7">
        <v>43717</v>
      </c>
      <c r="D40" s="8">
        <v>25</v>
      </c>
      <c r="E40" s="9" t="s">
        <v>44</v>
      </c>
      <c r="F40" s="8" t="s">
        <v>119</v>
      </c>
      <c r="G40" s="11" t="s">
        <v>120</v>
      </c>
      <c r="H40" s="8" t="str">
        <f>"000408"</f>
        <v>000408</v>
      </c>
      <c r="I40" s="7">
        <v>43530</v>
      </c>
      <c r="J40" s="8" t="str">
        <f>"000033"</f>
        <v>000033</v>
      </c>
      <c r="K40" s="7">
        <v>43662</v>
      </c>
      <c r="L40" s="8" t="str">
        <f>"000097"</f>
        <v>000097</v>
      </c>
      <c r="M40" s="7">
        <v>43662</v>
      </c>
      <c r="N40" s="8">
        <v>19</v>
      </c>
      <c r="O40" s="8" t="str">
        <f>"004758"</f>
        <v>004758</v>
      </c>
      <c r="P40" s="7">
        <v>43703</v>
      </c>
      <c r="Q40" s="12">
        <v>5.2853399999999997</v>
      </c>
      <c r="R40" s="12">
        <v>0.47122000000000003</v>
      </c>
      <c r="S40" s="12">
        <v>4.81412</v>
      </c>
      <c r="T40" s="8">
        <v>178</v>
      </c>
      <c r="U40" s="7">
        <v>43717</v>
      </c>
      <c r="V40" s="8">
        <v>9343722590</v>
      </c>
      <c r="W40" s="11" t="s">
        <v>121</v>
      </c>
      <c r="X40" s="8" t="s">
        <v>122</v>
      </c>
      <c r="Y40" s="11" t="s">
        <v>123</v>
      </c>
      <c r="Z40" s="8" t="s">
        <v>48</v>
      </c>
      <c r="AA40" s="11" t="s">
        <v>49</v>
      </c>
      <c r="AB40" s="12">
        <f t="shared" si="2"/>
        <v>5.2853399999999995E-2</v>
      </c>
    </row>
    <row r="41" spans="1:28" s="4" customFormat="1" ht="13" x14ac:dyDescent="0.3">
      <c r="A41" s="5">
        <v>887</v>
      </c>
      <c r="B41" s="6" t="s">
        <v>113</v>
      </c>
      <c r="C41" s="7">
        <v>43719</v>
      </c>
      <c r="D41" s="8">
        <v>25</v>
      </c>
      <c r="E41" s="9" t="s">
        <v>44</v>
      </c>
      <c r="F41" s="8" t="s">
        <v>124</v>
      </c>
      <c r="G41" s="11" t="s">
        <v>125</v>
      </c>
      <c r="H41" s="8" t="str">
        <f>"000052"</f>
        <v>000052</v>
      </c>
      <c r="I41" s="7">
        <v>43699</v>
      </c>
      <c r="J41" s="8" t="str">
        <f>"000048"</f>
        <v>000048</v>
      </c>
      <c r="K41" s="7">
        <v>43699</v>
      </c>
      <c r="L41" s="8" t="str">
        <f>"000128"</f>
        <v>000128</v>
      </c>
      <c r="M41" s="7">
        <v>43699</v>
      </c>
      <c r="N41" s="8">
        <v>19</v>
      </c>
      <c r="O41" s="8" t="str">
        <f>"004973"</f>
        <v>004973</v>
      </c>
      <c r="P41" s="7">
        <v>43717</v>
      </c>
      <c r="Q41" s="12">
        <v>98.758020000000002</v>
      </c>
      <c r="R41" s="12">
        <v>11.660640000000001</v>
      </c>
      <c r="S41" s="12">
        <v>87.097380000000001</v>
      </c>
      <c r="T41" s="8">
        <v>182</v>
      </c>
      <c r="U41" s="7">
        <v>43719</v>
      </c>
      <c r="V41" s="8">
        <v>9448205866</v>
      </c>
      <c r="W41" s="11" t="s">
        <v>126</v>
      </c>
      <c r="X41" s="8" t="s">
        <v>127</v>
      </c>
      <c r="Y41" s="11" t="s">
        <v>128</v>
      </c>
      <c r="Z41" s="8" t="s">
        <v>48</v>
      </c>
      <c r="AA41" s="11" t="s">
        <v>49</v>
      </c>
      <c r="AB41" s="12">
        <f t="shared" si="2"/>
        <v>0.98758020000000002</v>
      </c>
    </row>
    <row r="42" spans="1:28" s="4" customFormat="1" ht="13" x14ac:dyDescent="0.3">
      <c r="A42" s="5">
        <v>888</v>
      </c>
      <c r="B42" s="6" t="s">
        <v>113</v>
      </c>
      <c r="C42" s="7">
        <v>43719</v>
      </c>
      <c r="D42" s="8">
        <v>25</v>
      </c>
      <c r="E42" s="9" t="s">
        <v>44</v>
      </c>
      <c r="F42" s="8" t="s">
        <v>129</v>
      </c>
      <c r="G42" s="11" t="s">
        <v>130</v>
      </c>
      <c r="H42" s="8" t="str">
        <f>"000051"</f>
        <v>000051</v>
      </c>
      <c r="I42" s="7">
        <v>43699</v>
      </c>
      <c r="J42" s="8" t="str">
        <f>"000047"</f>
        <v>000047</v>
      </c>
      <c r="K42" s="7">
        <v>43699</v>
      </c>
      <c r="L42" s="8" t="str">
        <f>"000127"</f>
        <v>000127</v>
      </c>
      <c r="M42" s="7">
        <v>43699</v>
      </c>
      <c r="N42" s="8">
        <v>19</v>
      </c>
      <c r="O42" s="8" t="str">
        <f>"004974"</f>
        <v>004974</v>
      </c>
      <c r="P42" s="7">
        <v>43717</v>
      </c>
      <c r="Q42" s="12">
        <v>98.821489999999997</v>
      </c>
      <c r="R42" s="12">
        <v>11.59028</v>
      </c>
      <c r="S42" s="12">
        <v>87.231210000000004</v>
      </c>
      <c r="T42" s="8">
        <v>182</v>
      </c>
      <c r="U42" s="7">
        <v>43719</v>
      </c>
      <c r="V42" s="8">
        <v>9448205866</v>
      </c>
      <c r="W42" s="11" t="s">
        <v>126</v>
      </c>
      <c r="X42" s="8" t="s">
        <v>127</v>
      </c>
      <c r="Y42" s="11" t="s">
        <v>128</v>
      </c>
      <c r="Z42" s="8" t="s">
        <v>48</v>
      </c>
      <c r="AA42" s="11" t="s">
        <v>49</v>
      </c>
      <c r="AB42" s="12">
        <f t="shared" si="2"/>
        <v>0.98821490000000001</v>
      </c>
    </row>
    <row r="43" spans="1:28" s="4" customFormat="1" ht="13" x14ac:dyDescent="0.3">
      <c r="A43" s="5">
        <v>889</v>
      </c>
      <c r="B43" s="6" t="s">
        <v>113</v>
      </c>
      <c r="C43" s="7">
        <v>43719</v>
      </c>
      <c r="D43" s="8">
        <v>25</v>
      </c>
      <c r="E43" s="9" t="s">
        <v>44</v>
      </c>
      <c r="F43" s="8" t="s">
        <v>131</v>
      </c>
      <c r="G43" s="11" t="s">
        <v>132</v>
      </c>
      <c r="H43" s="8" t="str">
        <f>"000050"</f>
        <v>000050</v>
      </c>
      <c r="I43" s="7">
        <v>43699</v>
      </c>
      <c r="J43" s="8" t="str">
        <f>"000044"</f>
        <v>000044</v>
      </c>
      <c r="K43" s="7">
        <v>43699</v>
      </c>
      <c r="L43" s="8" t="str">
        <f>"000124"</f>
        <v>000124</v>
      </c>
      <c r="M43" s="7">
        <v>43699</v>
      </c>
      <c r="N43" s="8">
        <v>19</v>
      </c>
      <c r="O43" s="8" t="str">
        <f>"004976"</f>
        <v>004976</v>
      </c>
      <c r="P43" s="7">
        <v>43717</v>
      </c>
      <c r="Q43" s="12">
        <v>98.981319999999997</v>
      </c>
      <c r="R43" s="12">
        <v>11.58264</v>
      </c>
      <c r="S43" s="12">
        <v>87.398679999999999</v>
      </c>
      <c r="T43" s="8">
        <v>182</v>
      </c>
      <c r="U43" s="7">
        <v>43719</v>
      </c>
      <c r="V43" s="8">
        <v>0</v>
      </c>
      <c r="W43" s="11" t="s">
        <v>133</v>
      </c>
      <c r="X43" s="8" t="s">
        <v>127</v>
      </c>
      <c r="Y43" s="11" t="s">
        <v>128</v>
      </c>
      <c r="Z43" s="8" t="s">
        <v>48</v>
      </c>
      <c r="AA43" s="11" t="s">
        <v>49</v>
      </c>
      <c r="AB43" s="12">
        <f t="shared" si="2"/>
        <v>0.98981319999999995</v>
      </c>
    </row>
    <row r="44" spans="1:28" s="4" customFormat="1" ht="13" x14ac:dyDescent="0.3">
      <c r="A44" s="5">
        <v>890</v>
      </c>
      <c r="B44" s="6" t="s">
        <v>113</v>
      </c>
      <c r="C44" s="7">
        <v>43719</v>
      </c>
      <c r="D44" s="8">
        <v>25</v>
      </c>
      <c r="E44" s="9" t="s">
        <v>44</v>
      </c>
      <c r="F44" s="8" t="s">
        <v>134</v>
      </c>
      <c r="G44" s="11" t="s">
        <v>135</v>
      </c>
      <c r="H44" s="8" t="str">
        <f>"000053"</f>
        <v>000053</v>
      </c>
      <c r="I44" s="7">
        <v>43699</v>
      </c>
      <c r="J44" s="8" t="str">
        <f>"000045"</f>
        <v>000045</v>
      </c>
      <c r="K44" s="7">
        <v>43699</v>
      </c>
      <c r="L44" s="8" t="str">
        <f>"000125"</f>
        <v>000125</v>
      </c>
      <c r="M44" s="7">
        <v>43699</v>
      </c>
      <c r="N44" s="8">
        <v>19</v>
      </c>
      <c r="O44" s="8" t="str">
        <f>"004977"</f>
        <v>004977</v>
      </c>
      <c r="P44" s="7">
        <v>43717</v>
      </c>
      <c r="Q44" s="12">
        <v>98.234480000000005</v>
      </c>
      <c r="R44" s="12">
        <v>11.512969999999999</v>
      </c>
      <c r="S44" s="12">
        <v>86.721509999999995</v>
      </c>
      <c r="T44" s="8">
        <v>182</v>
      </c>
      <c r="U44" s="7">
        <v>43719</v>
      </c>
      <c r="V44" s="8">
        <v>9880398035</v>
      </c>
      <c r="W44" s="11" t="s">
        <v>133</v>
      </c>
      <c r="X44" s="8" t="s">
        <v>127</v>
      </c>
      <c r="Y44" s="11" t="s">
        <v>128</v>
      </c>
      <c r="Z44" s="8" t="s">
        <v>48</v>
      </c>
      <c r="AA44" s="11" t="s">
        <v>49</v>
      </c>
      <c r="AB44" s="12">
        <f t="shared" si="2"/>
        <v>0.98234480000000002</v>
      </c>
    </row>
    <row r="45" spans="1:28" s="4" customFormat="1" ht="13" x14ac:dyDescent="0.3">
      <c r="A45" s="5">
        <v>891</v>
      </c>
      <c r="B45" s="6" t="s">
        <v>113</v>
      </c>
      <c r="C45" s="7">
        <v>43719</v>
      </c>
      <c r="D45" s="8">
        <v>25</v>
      </c>
      <c r="E45" s="9" t="s">
        <v>44</v>
      </c>
      <c r="F45" s="8" t="s">
        <v>136</v>
      </c>
      <c r="G45" s="11" t="s">
        <v>137</v>
      </c>
      <c r="H45" s="8" t="str">
        <f>"000054"</f>
        <v>000054</v>
      </c>
      <c r="I45" s="7">
        <v>43699</v>
      </c>
      <c r="J45" s="8" t="str">
        <f>"000049"</f>
        <v>000049</v>
      </c>
      <c r="K45" s="7">
        <v>43699</v>
      </c>
      <c r="L45" s="8" t="str">
        <f>"000129"</f>
        <v>000129</v>
      </c>
      <c r="M45" s="7">
        <v>43699</v>
      </c>
      <c r="N45" s="8">
        <v>19</v>
      </c>
      <c r="O45" s="8" t="str">
        <f>"004978"</f>
        <v>004978</v>
      </c>
      <c r="P45" s="7">
        <v>43717</v>
      </c>
      <c r="Q45" s="12">
        <v>99.138919999999999</v>
      </c>
      <c r="R45" s="12">
        <v>11.50755</v>
      </c>
      <c r="S45" s="12">
        <v>87.631370000000004</v>
      </c>
      <c r="T45" s="8">
        <v>182</v>
      </c>
      <c r="U45" s="7">
        <v>43719</v>
      </c>
      <c r="V45" s="8">
        <v>9880398035</v>
      </c>
      <c r="W45" s="11" t="s">
        <v>133</v>
      </c>
      <c r="X45" s="8" t="s">
        <v>127</v>
      </c>
      <c r="Y45" s="11" t="s">
        <v>128</v>
      </c>
      <c r="Z45" s="8" t="s">
        <v>48</v>
      </c>
      <c r="AA45" s="11" t="s">
        <v>49</v>
      </c>
      <c r="AB45" s="12">
        <f t="shared" si="2"/>
        <v>0.99138919999999997</v>
      </c>
    </row>
    <row r="46" spans="1:28" s="4" customFormat="1" ht="13" x14ac:dyDescent="0.3">
      <c r="A46" s="5">
        <v>892</v>
      </c>
      <c r="B46" s="6" t="s">
        <v>113</v>
      </c>
      <c r="C46" s="7">
        <v>43719</v>
      </c>
      <c r="D46" s="8">
        <v>25</v>
      </c>
      <c r="E46" s="9" t="s">
        <v>44</v>
      </c>
      <c r="F46" s="8" t="s">
        <v>60</v>
      </c>
      <c r="G46" s="11" t="s">
        <v>61</v>
      </c>
      <c r="H46" s="8" t="str">
        <f>"000419"</f>
        <v>000419</v>
      </c>
      <c r="I46" s="7">
        <v>43535</v>
      </c>
      <c r="J46" s="8" t="str">
        <f>"000050"</f>
        <v>000050</v>
      </c>
      <c r="K46" s="7">
        <v>43703</v>
      </c>
      <c r="L46" s="8" t="str">
        <f>"000131"</f>
        <v>000131</v>
      </c>
      <c r="M46" s="7">
        <v>43704</v>
      </c>
      <c r="N46" s="8">
        <v>19</v>
      </c>
      <c r="O46" s="8" t="str">
        <f>"004979"</f>
        <v>004979</v>
      </c>
      <c r="P46" s="7">
        <v>43717</v>
      </c>
      <c r="Q46" s="12">
        <v>51.437899999999999</v>
      </c>
      <c r="R46" s="12">
        <v>2.5644999999999998</v>
      </c>
      <c r="S46" s="12">
        <v>48.873399999999997</v>
      </c>
      <c r="T46" s="8">
        <v>182</v>
      </c>
      <c r="U46" s="7">
        <v>43719</v>
      </c>
      <c r="V46" s="8">
        <v>9845485047</v>
      </c>
      <c r="W46" s="11" t="s">
        <v>62</v>
      </c>
      <c r="X46" s="8" t="s">
        <v>63</v>
      </c>
      <c r="Y46" s="11" t="s">
        <v>64</v>
      </c>
      <c r="Z46" s="8" t="s">
        <v>48</v>
      </c>
      <c r="AA46" s="11" t="s">
        <v>49</v>
      </c>
      <c r="AB46" s="12">
        <f t="shared" si="2"/>
        <v>0.51437900000000003</v>
      </c>
    </row>
    <row r="47" spans="1:28" s="4" customFormat="1" ht="13" x14ac:dyDescent="0.3">
      <c r="A47" s="5">
        <v>893</v>
      </c>
      <c r="B47" s="6" t="s">
        <v>113</v>
      </c>
      <c r="C47" s="7">
        <v>43721</v>
      </c>
      <c r="D47" s="8">
        <v>25</v>
      </c>
      <c r="E47" s="9" t="s">
        <v>44</v>
      </c>
      <c r="F47" s="8" t="s">
        <v>138</v>
      </c>
      <c r="G47" s="11" t="s">
        <v>139</v>
      </c>
      <c r="H47" s="8" t="str">
        <f>"000048"</f>
        <v>000048</v>
      </c>
      <c r="I47" s="7">
        <v>43684</v>
      </c>
      <c r="J47" s="8" t="str">
        <f>"000042"</f>
        <v>000042</v>
      </c>
      <c r="K47" s="7">
        <v>43693</v>
      </c>
      <c r="L47" s="8" t="str">
        <f>"000122"</f>
        <v>000122</v>
      </c>
      <c r="M47" s="7">
        <v>43693</v>
      </c>
      <c r="N47" s="8">
        <v>17</v>
      </c>
      <c r="O47" s="8" t="str">
        <f>"005096"</f>
        <v>005096</v>
      </c>
      <c r="P47" s="7">
        <v>43720</v>
      </c>
      <c r="Q47" s="12">
        <v>49.685830000000003</v>
      </c>
      <c r="R47" s="12">
        <v>3.7671600000000001</v>
      </c>
      <c r="S47" s="12">
        <v>45.918669999999999</v>
      </c>
      <c r="T47" s="8">
        <v>185</v>
      </c>
      <c r="U47" s="7">
        <v>43721</v>
      </c>
      <c r="V47" s="8">
        <v>9880133688</v>
      </c>
      <c r="W47" s="11" t="s">
        <v>140</v>
      </c>
      <c r="X47" s="8" t="s">
        <v>31</v>
      </c>
      <c r="Y47" s="11" t="s">
        <v>32</v>
      </c>
      <c r="Z47" s="8" t="s">
        <v>48</v>
      </c>
      <c r="AA47" s="11" t="s">
        <v>49</v>
      </c>
      <c r="AB47" s="12">
        <f t="shared" si="2"/>
        <v>0.49685830000000003</v>
      </c>
    </row>
    <row r="48" spans="1:28" s="4" customFormat="1" ht="13" x14ac:dyDescent="0.3">
      <c r="A48" s="5">
        <v>894</v>
      </c>
      <c r="B48" s="6" t="s">
        <v>113</v>
      </c>
      <c r="C48" s="7">
        <v>43726</v>
      </c>
      <c r="D48" s="8">
        <v>25</v>
      </c>
      <c r="E48" s="9" t="s">
        <v>44</v>
      </c>
      <c r="F48" s="8" t="s">
        <v>141</v>
      </c>
      <c r="G48" s="11" t="s">
        <v>142</v>
      </c>
      <c r="H48" s="8" t="str">
        <f>"000034"</f>
        <v>000034</v>
      </c>
      <c r="I48" s="7">
        <v>43644</v>
      </c>
      <c r="J48" s="8" t="str">
        <f>"000036"</f>
        <v>000036</v>
      </c>
      <c r="K48" s="7">
        <v>43683</v>
      </c>
      <c r="L48" s="8" t="str">
        <f>"000112"</f>
        <v>000112</v>
      </c>
      <c r="M48" s="7">
        <v>43684</v>
      </c>
      <c r="N48" s="8">
        <v>19</v>
      </c>
      <c r="O48" s="8" t="str">
        <f>"005038"</f>
        <v>005038</v>
      </c>
      <c r="P48" s="7">
        <v>43720</v>
      </c>
      <c r="Q48" s="12">
        <v>15.91187</v>
      </c>
      <c r="R48" s="12">
        <v>1.5217099999999999</v>
      </c>
      <c r="S48" s="12">
        <v>14.39016</v>
      </c>
      <c r="T48" s="8">
        <v>191</v>
      </c>
      <c r="U48" s="7">
        <v>43726</v>
      </c>
      <c r="V48" s="8">
        <v>9448446520</v>
      </c>
      <c r="W48" s="11" t="s">
        <v>85</v>
      </c>
      <c r="X48" s="8" t="s">
        <v>143</v>
      </c>
      <c r="Y48" s="11" t="s">
        <v>144</v>
      </c>
      <c r="Z48" s="8" t="s">
        <v>48</v>
      </c>
      <c r="AA48" s="11" t="s">
        <v>49</v>
      </c>
      <c r="AB48" s="12">
        <f t="shared" si="2"/>
        <v>0.1591187</v>
      </c>
    </row>
    <row r="49" spans="1:28" s="4" customFormat="1" ht="13" x14ac:dyDescent="0.3">
      <c r="A49" s="5">
        <v>895</v>
      </c>
      <c r="B49" s="6" t="s">
        <v>113</v>
      </c>
      <c r="C49" s="7">
        <v>43729</v>
      </c>
      <c r="D49" s="8">
        <v>25</v>
      </c>
      <c r="E49" s="9" t="s">
        <v>44</v>
      </c>
      <c r="F49" s="8" t="s">
        <v>145</v>
      </c>
      <c r="G49" s="11" t="s">
        <v>146</v>
      </c>
      <c r="H49" s="8" t="str">
        <f>"000054"</f>
        <v>000054</v>
      </c>
      <c r="I49" s="7">
        <v>43335</v>
      </c>
      <c r="J49" s="8" t="str">
        <f>"000071"</f>
        <v>000071</v>
      </c>
      <c r="K49" s="7">
        <v>43339</v>
      </c>
      <c r="L49" s="8" t="str">
        <f>"000179"</f>
        <v>000179</v>
      </c>
      <c r="M49" s="7">
        <v>43339</v>
      </c>
      <c r="N49" s="8">
        <v>18</v>
      </c>
      <c r="O49" s="8" t="str">
        <f>"005190"</f>
        <v>005190</v>
      </c>
      <c r="P49" s="7">
        <v>43726</v>
      </c>
      <c r="Q49" s="12">
        <v>54.59937</v>
      </c>
      <c r="R49" s="12">
        <v>2.7845599999999999</v>
      </c>
      <c r="S49" s="12">
        <v>51.814810000000001</v>
      </c>
      <c r="T49" s="8">
        <v>195</v>
      </c>
      <c r="U49" s="7">
        <v>43729</v>
      </c>
      <c r="V49" s="8">
        <v>9845024976</v>
      </c>
      <c r="W49" s="11" t="s">
        <v>147</v>
      </c>
      <c r="X49" s="8" t="s">
        <v>101</v>
      </c>
      <c r="Y49" s="11" t="s">
        <v>102</v>
      </c>
      <c r="Z49" s="8" t="s">
        <v>48</v>
      </c>
      <c r="AA49" s="11" t="s">
        <v>49</v>
      </c>
      <c r="AB49" s="12">
        <f t="shared" si="2"/>
        <v>0.54599370000000003</v>
      </c>
    </row>
    <row r="50" spans="1:28" s="4" customFormat="1" ht="13" x14ac:dyDescent="0.3">
      <c r="A50" s="5">
        <v>896</v>
      </c>
      <c r="B50" s="6" t="s">
        <v>113</v>
      </c>
      <c r="C50" s="7">
        <v>43729</v>
      </c>
      <c r="D50" s="8">
        <v>25</v>
      </c>
      <c r="E50" s="9" t="s">
        <v>44</v>
      </c>
      <c r="F50" s="8" t="s">
        <v>148</v>
      </c>
      <c r="G50" s="11" t="s">
        <v>149</v>
      </c>
      <c r="H50" s="8" t="str">
        <f>"000056"</f>
        <v>000056</v>
      </c>
      <c r="I50" s="7">
        <v>43335</v>
      </c>
      <c r="J50" s="8" t="str">
        <f>"000066"</f>
        <v>000066</v>
      </c>
      <c r="K50" s="7">
        <v>43339</v>
      </c>
      <c r="L50" s="8" t="str">
        <f>"000182"</f>
        <v>000182</v>
      </c>
      <c r="M50" s="7">
        <v>43339</v>
      </c>
      <c r="N50" s="8">
        <v>18</v>
      </c>
      <c r="O50" s="8" t="str">
        <f>"005193"</f>
        <v>005193</v>
      </c>
      <c r="P50" s="7">
        <v>43726</v>
      </c>
      <c r="Q50" s="12">
        <v>53.463970000000003</v>
      </c>
      <c r="R50" s="12">
        <v>2.7266599999999999</v>
      </c>
      <c r="S50" s="12">
        <v>50.737310000000001</v>
      </c>
      <c r="T50" s="8">
        <v>195</v>
      </c>
      <c r="U50" s="7">
        <v>43729</v>
      </c>
      <c r="V50" s="8">
        <v>9845024976</v>
      </c>
      <c r="W50" s="11" t="s">
        <v>147</v>
      </c>
      <c r="X50" s="8" t="s">
        <v>101</v>
      </c>
      <c r="Y50" s="11" t="s">
        <v>102</v>
      </c>
      <c r="Z50" s="8" t="s">
        <v>48</v>
      </c>
      <c r="AA50" s="11" t="s">
        <v>49</v>
      </c>
      <c r="AB50" s="12">
        <f t="shared" si="2"/>
        <v>0.53463970000000005</v>
      </c>
    </row>
    <row r="51" spans="1:28" s="4" customFormat="1" ht="13" x14ac:dyDescent="0.3">
      <c r="A51" s="5">
        <v>897</v>
      </c>
      <c r="B51" s="6" t="s">
        <v>113</v>
      </c>
      <c r="C51" s="7">
        <v>43729</v>
      </c>
      <c r="D51" s="8">
        <v>25</v>
      </c>
      <c r="E51" s="9" t="s">
        <v>44</v>
      </c>
      <c r="F51" s="8" t="s">
        <v>150</v>
      </c>
      <c r="G51" s="11" t="s">
        <v>151</v>
      </c>
      <c r="H51" s="8" t="str">
        <f>"000055"</f>
        <v>000055</v>
      </c>
      <c r="I51" s="7">
        <v>43335</v>
      </c>
      <c r="J51" s="8" t="str">
        <f>"000067"</f>
        <v>000067</v>
      </c>
      <c r="K51" s="7">
        <v>43339</v>
      </c>
      <c r="L51" s="8" t="str">
        <f>"000183"</f>
        <v>000183</v>
      </c>
      <c r="M51" s="7">
        <v>43339</v>
      </c>
      <c r="N51" s="8">
        <v>18</v>
      </c>
      <c r="O51" s="8" t="str">
        <f>"005194"</f>
        <v>005194</v>
      </c>
      <c r="P51" s="7">
        <v>43726</v>
      </c>
      <c r="Q51" s="12">
        <v>22.436219999999999</v>
      </c>
      <c r="R51" s="12">
        <v>1.1442399999999999</v>
      </c>
      <c r="S51" s="12">
        <v>21.291979999999999</v>
      </c>
      <c r="T51" s="8">
        <v>195</v>
      </c>
      <c r="U51" s="7">
        <v>43729</v>
      </c>
      <c r="V51" s="8">
        <v>9845024976</v>
      </c>
      <c r="W51" s="11" t="s">
        <v>147</v>
      </c>
      <c r="X51" s="8" t="s">
        <v>101</v>
      </c>
      <c r="Y51" s="11" t="s">
        <v>102</v>
      </c>
      <c r="Z51" s="8" t="s">
        <v>48</v>
      </c>
      <c r="AA51" s="11" t="s">
        <v>49</v>
      </c>
      <c r="AB51" s="12">
        <f t="shared" si="2"/>
        <v>0.22436219999999998</v>
      </c>
    </row>
    <row r="52" spans="1:28" s="4" customFormat="1" ht="13" x14ac:dyDescent="0.3">
      <c r="A52" s="5">
        <v>898</v>
      </c>
      <c r="B52" s="6" t="s">
        <v>113</v>
      </c>
      <c r="C52" s="7">
        <v>43729</v>
      </c>
      <c r="D52" s="8">
        <v>25</v>
      </c>
      <c r="E52" s="9" t="s">
        <v>44</v>
      </c>
      <c r="F52" s="8" t="s">
        <v>152</v>
      </c>
      <c r="G52" s="11" t="s">
        <v>153</v>
      </c>
      <c r="H52" s="8" t="str">
        <f>"000052"</f>
        <v>000052</v>
      </c>
      <c r="I52" s="7">
        <v>43335</v>
      </c>
      <c r="J52" s="8" t="str">
        <f>"000073"</f>
        <v>000073</v>
      </c>
      <c r="K52" s="7">
        <v>43339</v>
      </c>
      <c r="L52" s="8" t="str">
        <f>"000184"</f>
        <v>000184</v>
      </c>
      <c r="M52" s="7">
        <v>43340</v>
      </c>
      <c r="N52" s="8">
        <v>18</v>
      </c>
      <c r="O52" s="8" t="str">
        <f>"005195"</f>
        <v>005195</v>
      </c>
      <c r="P52" s="7">
        <v>43726</v>
      </c>
      <c r="Q52" s="12">
        <v>54.842269999999999</v>
      </c>
      <c r="R52" s="12">
        <v>2.7969499999999998</v>
      </c>
      <c r="S52" s="12">
        <v>52.045319999999997</v>
      </c>
      <c r="T52" s="8">
        <v>195</v>
      </c>
      <c r="U52" s="7">
        <v>43729</v>
      </c>
      <c r="V52" s="8">
        <v>9845024976</v>
      </c>
      <c r="W52" s="11" t="s">
        <v>147</v>
      </c>
      <c r="X52" s="8" t="s">
        <v>101</v>
      </c>
      <c r="Y52" s="11" t="s">
        <v>102</v>
      </c>
      <c r="Z52" s="8" t="s">
        <v>48</v>
      </c>
      <c r="AA52" s="11" t="s">
        <v>49</v>
      </c>
      <c r="AB52" s="12">
        <f t="shared" si="2"/>
        <v>0.54842270000000004</v>
      </c>
    </row>
    <row r="53" spans="1:28" s="4" customFormat="1" ht="13" x14ac:dyDescent="0.3">
      <c r="A53" s="5">
        <v>899</v>
      </c>
      <c r="B53" s="6" t="s">
        <v>113</v>
      </c>
      <c r="C53" s="7">
        <v>43732</v>
      </c>
      <c r="D53" s="8">
        <v>25</v>
      </c>
      <c r="E53" s="9" t="s">
        <v>44</v>
      </c>
      <c r="F53" s="8" t="s">
        <v>52</v>
      </c>
      <c r="G53" s="11" t="s">
        <v>53</v>
      </c>
      <c r="H53" s="8" t="str">
        <f>"000020"</f>
        <v>000020</v>
      </c>
      <c r="I53" s="7">
        <v>42625</v>
      </c>
      <c r="J53" s="8" t="str">
        <f>"000053"</f>
        <v>000053</v>
      </c>
      <c r="K53" s="7">
        <v>43782</v>
      </c>
      <c r="L53" s="8" t="str">
        <f>"000051"</f>
        <v>000051</v>
      </c>
      <c r="M53" s="7">
        <v>43782</v>
      </c>
      <c r="N53" s="8">
        <v>16</v>
      </c>
      <c r="O53" s="8" t="str">
        <f>"006355"</f>
        <v>006355</v>
      </c>
      <c r="P53" s="7">
        <v>43794</v>
      </c>
      <c r="Q53" s="12">
        <v>11.95823</v>
      </c>
      <c r="R53" s="12">
        <v>1.4349000000000001</v>
      </c>
      <c r="S53" s="12">
        <v>10.52333</v>
      </c>
      <c r="T53" s="8">
        <v>200</v>
      </c>
      <c r="U53" s="7">
        <v>43732</v>
      </c>
      <c r="V53" s="8">
        <v>9980796171</v>
      </c>
      <c r="W53" s="11" t="s">
        <v>54</v>
      </c>
      <c r="X53" s="8" t="s">
        <v>29</v>
      </c>
      <c r="Y53" s="11" t="s">
        <v>30</v>
      </c>
      <c r="Z53" s="8" t="s">
        <v>55</v>
      </c>
      <c r="AA53" s="11" t="s">
        <v>56</v>
      </c>
      <c r="AB53" s="12">
        <f t="shared" si="2"/>
        <v>0.1195823</v>
      </c>
    </row>
    <row r="54" spans="1:28" s="4" customFormat="1" ht="13" x14ac:dyDescent="0.3">
      <c r="A54" s="5">
        <v>900</v>
      </c>
      <c r="B54" s="6" t="s">
        <v>154</v>
      </c>
      <c r="C54" s="7">
        <v>43749</v>
      </c>
      <c r="D54" s="5">
        <v>25</v>
      </c>
      <c r="E54" s="9" t="s">
        <v>44</v>
      </c>
      <c r="F54" s="8" t="s">
        <v>155</v>
      </c>
      <c r="G54" s="9" t="s">
        <v>156</v>
      </c>
      <c r="H54" s="8" t="str">
        <f>"000348"</f>
        <v>000348</v>
      </c>
      <c r="I54" s="7">
        <v>43424</v>
      </c>
      <c r="J54" s="8" t="str">
        <f>"000038"</f>
        <v>000038</v>
      </c>
      <c r="K54" s="7">
        <v>43691</v>
      </c>
      <c r="L54" s="8" t="str">
        <f>"000117"</f>
        <v>000117</v>
      </c>
      <c r="M54" s="7">
        <v>43691</v>
      </c>
      <c r="N54" s="8">
        <v>17</v>
      </c>
      <c r="O54" s="8" t="str">
        <f>"005733"</f>
        <v>005733</v>
      </c>
      <c r="P54" s="7">
        <v>43749</v>
      </c>
      <c r="Q54" s="10">
        <v>28.568159999999999</v>
      </c>
      <c r="R54" s="10">
        <v>1.45309</v>
      </c>
      <c r="S54" s="10">
        <v>27.115069999999999</v>
      </c>
      <c r="T54" s="8">
        <v>13</v>
      </c>
      <c r="U54" s="7">
        <v>43749</v>
      </c>
      <c r="V54" s="8">
        <v>0</v>
      </c>
      <c r="W54" s="9" t="s">
        <v>157</v>
      </c>
      <c r="X54" s="8" t="s">
        <v>158</v>
      </c>
      <c r="Y54" s="9" t="s">
        <v>159</v>
      </c>
      <c r="Z54" s="8" t="s">
        <v>48</v>
      </c>
      <c r="AA54" s="9" t="s">
        <v>49</v>
      </c>
      <c r="AB54" s="10">
        <v>0.28568159999999998</v>
      </c>
    </row>
    <row r="55" spans="1:28" s="4" customFormat="1" ht="13" x14ac:dyDescent="0.3">
      <c r="A55" s="5">
        <v>901</v>
      </c>
      <c r="B55" s="6" t="s">
        <v>154</v>
      </c>
      <c r="C55" s="7">
        <v>43749</v>
      </c>
      <c r="D55" s="5">
        <v>25</v>
      </c>
      <c r="E55" s="9" t="s">
        <v>44</v>
      </c>
      <c r="F55" s="8" t="s">
        <v>160</v>
      </c>
      <c r="G55" s="9" t="s">
        <v>161</v>
      </c>
      <c r="H55" s="8" t="str">
        <f>"000346"</f>
        <v>000346</v>
      </c>
      <c r="I55" s="7">
        <v>43424</v>
      </c>
      <c r="J55" s="8" t="str">
        <f>"000041"</f>
        <v>000041</v>
      </c>
      <c r="K55" s="7">
        <v>43691</v>
      </c>
      <c r="L55" s="8" t="str">
        <f>"000120"</f>
        <v>000120</v>
      </c>
      <c r="M55" s="7">
        <v>43691</v>
      </c>
      <c r="N55" s="8">
        <v>17</v>
      </c>
      <c r="O55" s="8" t="str">
        <f>"005735"</f>
        <v>005735</v>
      </c>
      <c r="P55" s="7">
        <v>43749</v>
      </c>
      <c r="Q55" s="10">
        <v>11.7087</v>
      </c>
      <c r="R55" s="10">
        <v>0.58162999999999998</v>
      </c>
      <c r="S55" s="10">
        <v>11.12707</v>
      </c>
      <c r="T55" s="8">
        <v>13</v>
      </c>
      <c r="U55" s="7">
        <v>43749</v>
      </c>
      <c r="V55" s="8">
        <v>0</v>
      </c>
      <c r="W55" s="9" t="s">
        <v>157</v>
      </c>
      <c r="X55" s="8" t="s">
        <v>158</v>
      </c>
      <c r="Y55" s="9" t="s">
        <v>159</v>
      </c>
      <c r="Z55" s="8" t="s">
        <v>48</v>
      </c>
      <c r="AA55" s="9" t="s">
        <v>49</v>
      </c>
      <c r="AB55" s="10">
        <v>0.117087</v>
      </c>
    </row>
    <row r="56" spans="1:28" s="4" customFormat="1" ht="13" x14ac:dyDescent="0.3">
      <c r="A56" s="5">
        <v>902</v>
      </c>
      <c r="B56" s="6" t="s">
        <v>154</v>
      </c>
      <c r="C56" s="7">
        <v>43749</v>
      </c>
      <c r="D56" s="5">
        <v>25</v>
      </c>
      <c r="E56" s="9" t="s">
        <v>44</v>
      </c>
      <c r="F56" s="8" t="s">
        <v>160</v>
      </c>
      <c r="G56" s="9" t="s">
        <v>161</v>
      </c>
      <c r="H56" s="8" t="str">
        <f>"000346"</f>
        <v>000346</v>
      </c>
      <c r="I56" s="7">
        <v>43424</v>
      </c>
      <c r="J56" s="8" t="str">
        <f>"000041"</f>
        <v>000041</v>
      </c>
      <c r="K56" s="7">
        <v>43691</v>
      </c>
      <c r="L56" s="8" t="str">
        <f>"000120"</f>
        <v>000120</v>
      </c>
      <c r="M56" s="7">
        <v>43691</v>
      </c>
      <c r="N56" s="8">
        <v>17</v>
      </c>
      <c r="O56" s="8" t="str">
        <f>"005735"</f>
        <v>005735</v>
      </c>
      <c r="P56" s="7">
        <v>43749</v>
      </c>
      <c r="Q56" s="10">
        <v>25.364270000000001</v>
      </c>
      <c r="R56" s="10">
        <v>1.29433</v>
      </c>
      <c r="S56" s="10">
        <v>24.069939999999999</v>
      </c>
      <c r="T56" s="8">
        <v>13</v>
      </c>
      <c r="U56" s="7">
        <v>43749</v>
      </c>
      <c r="V56" s="8">
        <v>0</v>
      </c>
      <c r="W56" s="9" t="s">
        <v>157</v>
      </c>
      <c r="X56" s="8" t="s">
        <v>158</v>
      </c>
      <c r="Y56" s="9" t="s">
        <v>159</v>
      </c>
      <c r="Z56" s="8" t="s">
        <v>48</v>
      </c>
      <c r="AA56" s="9" t="s">
        <v>49</v>
      </c>
      <c r="AB56" s="10">
        <v>0.2536427</v>
      </c>
    </row>
    <row r="57" spans="1:28" s="4" customFormat="1" ht="13" x14ac:dyDescent="0.3">
      <c r="A57" s="5">
        <v>903</v>
      </c>
      <c r="B57" s="6" t="s">
        <v>154</v>
      </c>
      <c r="C57" s="7">
        <v>43749</v>
      </c>
      <c r="D57" s="5">
        <v>25</v>
      </c>
      <c r="E57" s="9" t="s">
        <v>44</v>
      </c>
      <c r="F57" s="8" t="s">
        <v>162</v>
      </c>
      <c r="G57" s="9" t="s">
        <v>163</v>
      </c>
      <c r="H57" s="8" t="str">
        <f>"000349"</f>
        <v>000349</v>
      </c>
      <c r="I57" s="7">
        <v>43424</v>
      </c>
      <c r="J57" s="8" t="str">
        <f>"000039"</f>
        <v>000039</v>
      </c>
      <c r="K57" s="7">
        <v>43691</v>
      </c>
      <c r="L57" s="8" t="str">
        <f>"000118"</f>
        <v>000118</v>
      </c>
      <c r="M57" s="7">
        <v>43691</v>
      </c>
      <c r="N57" s="8">
        <v>17</v>
      </c>
      <c r="O57" s="8" t="str">
        <f>"005736"</f>
        <v>005736</v>
      </c>
      <c r="P57" s="7">
        <v>43749</v>
      </c>
      <c r="Q57" s="10">
        <v>19.518139999999999</v>
      </c>
      <c r="R57" s="10">
        <v>1.0102100000000001</v>
      </c>
      <c r="S57" s="10">
        <v>18.507930000000002</v>
      </c>
      <c r="T57" s="8">
        <v>13</v>
      </c>
      <c r="U57" s="7">
        <v>43749</v>
      </c>
      <c r="V57" s="8">
        <v>0</v>
      </c>
      <c r="W57" s="9" t="s">
        <v>157</v>
      </c>
      <c r="X57" s="8" t="s">
        <v>158</v>
      </c>
      <c r="Y57" s="9" t="s">
        <v>159</v>
      </c>
      <c r="Z57" s="8" t="s">
        <v>48</v>
      </c>
      <c r="AA57" s="9" t="s">
        <v>49</v>
      </c>
      <c r="AB57" s="10">
        <v>0.19518139999999998</v>
      </c>
    </row>
    <row r="58" spans="1:28" s="4" customFormat="1" ht="13" x14ac:dyDescent="0.3">
      <c r="A58" s="5">
        <v>904</v>
      </c>
      <c r="B58" s="6" t="s">
        <v>164</v>
      </c>
      <c r="C58" s="7">
        <v>43795</v>
      </c>
      <c r="D58" s="5">
        <v>25</v>
      </c>
      <c r="E58" s="9" t="s">
        <v>44</v>
      </c>
      <c r="F58" s="8" t="s">
        <v>52</v>
      </c>
      <c r="G58" s="9" t="s">
        <v>53</v>
      </c>
      <c r="H58" s="8" t="str">
        <f>"000020"</f>
        <v>000020</v>
      </c>
      <c r="I58" s="7">
        <v>42625</v>
      </c>
      <c r="J58" s="8" t="str">
        <f>"000053"</f>
        <v>000053</v>
      </c>
      <c r="K58" s="7">
        <v>43782</v>
      </c>
      <c r="L58" s="8" t="str">
        <f>"000051"</f>
        <v>000051</v>
      </c>
      <c r="M58" s="7">
        <v>43782</v>
      </c>
      <c r="N58" s="8">
        <v>16</v>
      </c>
      <c r="O58" s="8" t="str">
        <f>"006355"</f>
        <v>006355</v>
      </c>
      <c r="P58" s="7">
        <v>43794</v>
      </c>
      <c r="Q58" s="10">
        <v>11.95823</v>
      </c>
      <c r="R58" s="10">
        <v>1.4349000000000001</v>
      </c>
      <c r="S58" s="10">
        <v>10.52333</v>
      </c>
      <c r="T58" s="8">
        <v>13</v>
      </c>
      <c r="U58" s="7">
        <v>43795</v>
      </c>
      <c r="V58" s="8">
        <v>9980796171</v>
      </c>
      <c r="W58" s="9" t="s">
        <v>54</v>
      </c>
      <c r="X58" s="8" t="s">
        <v>29</v>
      </c>
      <c r="Y58" s="9" t="s">
        <v>30</v>
      </c>
      <c r="Z58" s="8" t="s">
        <v>55</v>
      </c>
      <c r="AA58" s="9" t="s">
        <v>56</v>
      </c>
      <c r="AB58" s="10">
        <v>0.1195823</v>
      </c>
    </row>
    <row r="59" spans="1:28" s="4" customFormat="1" ht="13" x14ac:dyDescent="0.3">
      <c r="A59" s="5">
        <v>905</v>
      </c>
      <c r="B59" s="6" t="s">
        <v>165</v>
      </c>
      <c r="C59" s="7">
        <v>43818</v>
      </c>
      <c r="D59" s="5">
        <v>25</v>
      </c>
      <c r="E59" s="9" t="s">
        <v>44</v>
      </c>
      <c r="F59" s="8" t="s">
        <v>166</v>
      </c>
      <c r="G59" s="9" t="s">
        <v>167</v>
      </c>
      <c r="H59" s="8" t="str">
        <f>"000290"</f>
        <v>000290</v>
      </c>
      <c r="I59" s="7">
        <v>43470</v>
      </c>
      <c r="J59" s="8" t="str">
        <f>"000056"</f>
        <v>000056</v>
      </c>
      <c r="K59" s="7">
        <v>43769</v>
      </c>
      <c r="L59" s="8" t="str">
        <f>"000150"</f>
        <v>000150</v>
      </c>
      <c r="M59" s="7">
        <v>43769</v>
      </c>
      <c r="N59" s="8">
        <v>18</v>
      </c>
      <c r="O59" s="8" t="str">
        <f>"006841"</f>
        <v>006841</v>
      </c>
      <c r="P59" s="7">
        <v>43815</v>
      </c>
      <c r="Q59" s="10">
        <v>14.81962</v>
      </c>
      <c r="R59" s="10">
        <v>1.6892499999999999</v>
      </c>
      <c r="S59" s="10">
        <v>13.130369999999999</v>
      </c>
      <c r="T59" s="8">
        <v>13</v>
      </c>
      <c r="U59" s="7">
        <v>43818</v>
      </c>
      <c r="V59" s="8">
        <v>7349473989</v>
      </c>
      <c r="W59" s="9" t="s">
        <v>168</v>
      </c>
      <c r="X59" s="8" t="s">
        <v>169</v>
      </c>
      <c r="Y59" s="9" t="s">
        <v>170</v>
      </c>
      <c r="Z59" s="8" t="s">
        <v>48</v>
      </c>
      <c r="AA59" s="9" t="s">
        <v>49</v>
      </c>
      <c r="AB59" s="10">
        <v>0.1481962</v>
      </c>
    </row>
    <row r="60" spans="1:28" s="4" customFormat="1" ht="13" x14ac:dyDescent="0.3">
      <c r="A60" s="5">
        <v>906</v>
      </c>
      <c r="B60" s="6" t="s">
        <v>165</v>
      </c>
      <c r="C60" s="7">
        <v>43826</v>
      </c>
      <c r="D60" s="5">
        <v>25</v>
      </c>
      <c r="E60" s="9" t="s">
        <v>44</v>
      </c>
      <c r="F60" s="8" t="s">
        <v>171</v>
      </c>
      <c r="G60" s="9" t="s">
        <v>172</v>
      </c>
      <c r="H60" s="8" t="str">
        <f>"000256"</f>
        <v>000256</v>
      </c>
      <c r="I60" s="7">
        <v>43806</v>
      </c>
      <c r="J60" s="8" t="str">
        <f>"000064"</f>
        <v>000064</v>
      </c>
      <c r="K60" s="7">
        <v>43806</v>
      </c>
      <c r="L60" s="8" t="str">
        <f>"000166"</f>
        <v>000166</v>
      </c>
      <c r="M60" s="7">
        <v>43806</v>
      </c>
      <c r="N60" s="8">
        <v>19</v>
      </c>
      <c r="O60" s="8" t="str">
        <f>"006922"</f>
        <v>006922</v>
      </c>
      <c r="P60" s="7">
        <v>43820</v>
      </c>
      <c r="Q60" s="10">
        <v>70.036670000000001</v>
      </c>
      <c r="R60" s="10">
        <v>8.3243600000000004</v>
      </c>
      <c r="S60" s="10">
        <v>61.712310000000002</v>
      </c>
      <c r="T60" s="8">
        <v>13</v>
      </c>
      <c r="U60" s="7">
        <v>43826</v>
      </c>
      <c r="V60" s="8">
        <v>0</v>
      </c>
      <c r="W60" s="9" t="s">
        <v>173</v>
      </c>
      <c r="X60" s="8" t="s">
        <v>127</v>
      </c>
      <c r="Y60" s="9" t="s">
        <v>128</v>
      </c>
      <c r="Z60" s="8" t="s">
        <v>48</v>
      </c>
      <c r="AA60" s="9" t="s">
        <v>49</v>
      </c>
      <c r="AB60" s="10">
        <v>0.70036670000000001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Manjunath HL</dc:creator>
  <cp:lastModifiedBy>Manjunath HL</cp:lastModifiedBy>
  <dcterms:created xsi:type="dcterms:W3CDTF">2019-07-02T06:05:12Z</dcterms:created>
  <dcterms:modified xsi:type="dcterms:W3CDTF">2020-01-28T11:40:02Z</dcterms:modified>
</cp:coreProperties>
</file>