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3" i="1" l="1"/>
  <c r="L53" i="1"/>
  <c r="J53" i="1"/>
  <c r="H53" i="1"/>
  <c r="O52" i="1"/>
  <c r="L52" i="1"/>
  <c r="J52" i="1"/>
  <c r="H52" i="1"/>
  <c r="O51" i="1"/>
  <c r="L51" i="1"/>
  <c r="J51" i="1"/>
  <c r="H51" i="1"/>
  <c r="O50" i="1"/>
  <c r="L50" i="1"/>
  <c r="J50" i="1"/>
  <c r="H50" i="1"/>
  <c r="O49" i="1"/>
  <c r="L49" i="1"/>
  <c r="J49" i="1"/>
  <c r="H49" i="1"/>
  <c r="AB48" i="1"/>
  <c r="O48" i="1"/>
  <c r="L48" i="1"/>
  <c r="J48" i="1"/>
  <c r="H48" i="1"/>
  <c r="AB47"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O35" i="1"/>
  <c r="L35" i="1"/>
  <c r="J35" i="1"/>
  <c r="H35" i="1"/>
  <c r="O34" i="1"/>
  <c r="L34" i="1"/>
  <c r="J34" i="1"/>
  <c r="H34"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<sst xmlns="http://schemas.openxmlformats.org/spreadsheetml/2006/main" count="496" uniqueCount="187">
  <si>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</si>
  <si>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</si>
  <si>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</si>
  <si>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</si>
  <si>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</si>
  <si>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</si>
  <si>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</si>
  <si>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</si>
  <si>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</si>
  <si>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</si>
  <si>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</si>
  <si>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</si>
  <si>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</si>
  <si>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</si>
  <si>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</si>
  <si>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</si>
  <si>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</si>
  <si>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</si>
  <si>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</si>
  <si>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</si>
  <si>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</si>
  <si>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</si>
  <si>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</si>
  <si>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</si>
  <si>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</si>
  <si>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</si>
  <si>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</si>
  <si>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</si>
  <si>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</si>
  <si>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</si>
  <si>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</si>
  <si>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P3158</t>
  </si>
  <si>
    <t>SIP Infrastructure Project works</t>
  </si>
  <si>
    <t>June</t>
  </si>
  <si>
    <t>P1771</t>
  </si>
  <si>
    <t>Zone Works - POW Works</t>
  </si>
  <si>
    <t>May</t>
  </si>
  <si>
    <t>18per - Works (Bhagyajyothi, Sooru / Neeru Yojane and General) (54 Lakhs / New Wards)</t>
  </si>
  <si>
    <t>P1878</t>
  </si>
  <si>
    <t>Special Development works in ward No.177,78,97, 57,99,100,68,11,126,168, 113,02, 181,03, 21,33,23,24,27 ,59,53,57,81,47, 45,72, 50,91,92,117,145,146,147,148,151,152, 122,134, 157, 84,85,150,163, 179,180, 170, 171, 175,176, 173,174, 186,189, 190,193,185,191,194, 195,196, 127, (Rs.200 lakhs each ward)</t>
  </si>
  <si>
    <t>P3172</t>
  </si>
  <si>
    <t>P3111</t>
  </si>
  <si>
    <t>State Finance Commission Untied Grant Works</t>
  </si>
  <si>
    <t>P3110</t>
  </si>
  <si>
    <t>14th Finance Commission Grant Works</t>
  </si>
  <si>
    <t>P3173</t>
  </si>
  <si>
    <t>Special Development works in ward No.124, 185, 98, 188, 10, 14, 16, 30, 28, 37, 42, 130, 159, 65, 66, 73, 79, 80, 90, 95, 94, 89, 108, 111, 115, 97, 105, 131, 133, 119, 125, 137, 143, 124, 158, 138, 83, 166, 182, 129, 165, 161, 04, 88, 27, 31, 32, 52, 44, 26, 07, 183, 178, 187 (Rs.100 lakhs per ward)</t>
  </si>
  <si>
    <t>ddo089</t>
  </si>
  <si>
    <t xml:space="preserve"> Assistant Executive Engineer Electrical East Zone</t>
  </si>
  <si>
    <t xml:space="preserve">M/s KRIDL, The Technical Manager-01, </t>
  </si>
  <si>
    <t>Banasavadi</t>
  </si>
  <si>
    <t>027-18-000049</t>
  </si>
  <si>
    <t xml:space="preserve">Maintenance of Ward by engaging Private Labours and Removal of Debris in Ward No.27, Banasawadi </t>
  </si>
  <si>
    <t xml:space="preserve">G.C.S.Constructions, </t>
  </si>
  <si>
    <t>ddo081</t>
  </si>
  <si>
    <t xml:space="preserve"> Assistant Executive Engineer Maruthysena Nagar East Zone</t>
  </si>
  <si>
    <t>027-16-000001</t>
  </si>
  <si>
    <t>Operation and Maintenance of street lights at Banasawadi area ward no. 27 Package E18 for one year.</t>
  </si>
  <si>
    <t>M/s Rainbow Electricals</t>
  </si>
  <si>
    <t>027-17-000023</t>
  </si>
  <si>
    <t>Improvements and Construction of Culverts in Banasawadi Surrounding Areas in Ward No.27, Banasawadi.</t>
  </si>
  <si>
    <t>M.Abhilash  Murthy,</t>
  </si>
  <si>
    <t>027-17-000019</t>
  </si>
  <si>
    <t>Improvements to Drains and Culverts in 10th A and B Main Road of HRBR Layout in Ward No.27, Banasawadi.</t>
  </si>
  <si>
    <t>P.Aravind,</t>
  </si>
  <si>
    <t>027-11-000075</t>
  </si>
  <si>
    <t>CONSTRUCTION OF INDIVIDUAL HOUSES AT NEW AK COLONY 1ST BLOCK IN WARD NO 27</t>
  </si>
  <si>
    <t>Sri.Ganesh,</t>
  </si>
  <si>
    <t>027-17-000119</t>
  </si>
  <si>
    <t>Engagement of Gangman and Hiring of Tractor Tippers for cleaning and Maintenance of road side drains and other cleaning works in  works in ward no 27</t>
  </si>
  <si>
    <t>V.Sendhilkumar,</t>
  </si>
  <si>
    <t>027-19-000001</t>
  </si>
  <si>
    <t>Drilling of Borewells and providing water facility in ward no 27 Banasawadi and ward no 29 Kacharkanahalli in Sarvagnanagara Assembly Constituency</t>
  </si>
  <si>
    <t>304-18-000076</t>
  </si>
  <si>
    <t>Improvements and asphalting to Banasawadi main road IOC flyover (Ayyappa swamy Temple Road) in ward no 27 Sarvagnanagar Constituency..</t>
  </si>
  <si>
    <t>KRIDL,  The Technical Manager -1/2/3/4</t>
  </si>
  <si>
    <t>ddo315</t>
  </si>
  <si>
    <t xml:space="preserve"> Executive Engineer Major Road East Central Zone</t>
  </si>
  <si>
    <t>027-17-000042</t>
  </si>
  <si>
    <t>Improvements to drains and culverts in 10th cross and 11th cross road (Ex-Serviceman Colony) Venkataswamy layout in ward no 27 Banasawadi</t>
  </si>
  <si>
    <t>Venkatachala.K.S.</t>
  </si>
  <si>
    <t>027-17-000030</t>
  </si>
  <si>
    <t>Providing Asphalting to roads at 5th cross 9th G main road in HRBR Layout 1st Block in ward no 27 Banasawadi</t>
  </si>
  <si>
    <t>K.N.Srinivasa, No.25, 2nd Cross, 10th main,</t>
  </si>
  <si>
    <t>P3165</t>
  </si>
  <si>
    <t>Special Development works in ward No.11, 41, 27, 43, 52, 57 and 9 (each ward Rs.200.00 lakhs)</t>
  </si>
  <si>
    <t>027-17-000032</t>
  </si>
  <si>
    <t>Providing Asphalting to roads at 9th B main 2nd C 2nd D Cross in HRBR Layout 1st Block in ward no 27 Banasawadi</t>
  </si>
  <si>
    <t>K.N.Srinivasa,</t>
  </si>
  <si>
    <t>027-17-000062</t>
  </si>
  <si>
    <t>Providing Asphalting to roads at 6th D, 6th C, 6th B 6th A cross roads in OMBR Layout in ward no 27, Banasawadi.</t>
  </si>
  <si>
    <t>027-17-000061</t>
  </si>
  <si>
    <t>Providing Asphalting to roads at 2A main 7th cross and 4th C main in OMBR Layout in ward no 27, Banasawadi.</t>
  </si>
  <si>
    <t>027-17-000065</t>
  </si>
  <si>
    <t>Providing Asphalting to roads atGreen Park Layout in ward no 27, Banasawadi.</t>
  </si>
  <si>
    <t>027-17-000063</t>
  </si>
  <si>
    <t>Providing Asphalting to roads at 3rd main and 4th main roads in OMBR Layout in ward no 27, Banasawadi.</t>
  </si>
  <si>
    <t xml:space="preserve">K.N.Srinivasa, No.25, 2nd Cross, </t>
  </si>
  <si>
    <t>027-17-000039</t>
  </si>
  <si>
    <t>Providing Asphalting to 7th A main 7th C main and between in HRBR Layout 1st Block in ward no 27 Banasawadi</t>
  </si>
  <si>
    <t>027-17-000031</t>
  </si>
  <si>
    <t>Providing Asphalting to roads at 10th A main road in HRBR Layout 1st Block in ward no 27 Banasawadi</t>
  </si>
  <si>
    <t>027-17-000036</t>
  </si>
  <si>
    <t>Providing Asphalting to 6th A 6th B main road in HRBR Layout 2nd Block in ward no 27 Banasawadi</t>
  </si>
  <si>
    <t>027-17-000040</t>
  </si>
  <si>
    <t>Providing Asphalting to 2nd A 2nd B 2nd C cross road in HRBR Layout 1st Block in ward no 27 Banasawadi</t>
  </si>
  <si>
    <t>027-17-000033</t>
  </si>
  <si>
    <t>Providing Asphalting to 2nd A 2nd B 2nd C cross roads in HRBR Layout 2nd Block in ward no 27 Banasawadi</t>
  </si>
  <si>
    <t>027-17-000035</t>
  </si>
  <si>
    <t>Providing Asphalting to 2nd D and 2nd E cross roads in HRBR Layout 2nd Block in ward no 27 Banasawadi</t>
  </si>
  <si>
    <t>027-17-000034</t>
  </si>
  <si>
    <t>Providing Asphalting to 5th D main road Bethel street and surroundings area in ward no 27 Banasawadi</t>
  </si>
  <si>
    <t>027-17-000038</t>
  </si>
  <si>
    <t>Providing Asphalting to 4th C cross 5th C main road in HRBR Layout 2nd Block in ward no 27 Banasawadi</t>
  </si>
  <si>
    <t>027-17-000041</t>
  </si>
  <si>
    <t>Providing Asphalting to between 4th B cross and 5th cross road in HRBR Layout 1st Block in ward no 27 Banasawadi</t>
  </si>
  <si>
    <t>027-17-000120</t>
  </si>
  <si>
    <t>Providing CC Camera at Garbage Block Spots in ward no 27</t>
  </si>
  <si>
    <t xml:space="preserve">M/s Excel Construction, </t>
  </si>
  <si>
    <t>027-14-000035</t>
  </si>
  <si>
    <t>Improvements to Drains and Asphalting to Vijayabank Colony in Ward No.27 Banasavadi.</t>
  </si>
  <si>
    <t>The Technical Manager-01,</t>
  </si>
  <si>
    <t>P2434</t>
  </si>
  <si>
    <t>Development works for Bangalore City</t>
  </si>
  <si>
    <t>027-14-000038</t>
  </si>
  <si>
    <t>Construction of Culverts and Providing C.C to Cross Roads at Kalyanamma Layout in Ward No.27 Banasavadi.</t>
  </si>
  <si>
    <t>027-13-000019</t>
  </si>
  <si>
    <t>Improvements to drains and road at Jai Javan Nagar and Abbaiah reddy layout in ward no. 27</t>
  </si>
  <si>
    <t>The Technical MAnager-01,</t>
  </si>
  <si>
    <t>P2201</t>
  </si>
  <si>
    <t>Assembly Constituency Development Works under BBMP</t>
  </si>
  <si>
    <t>027-17-000015</t>
  </si>
  <si>
    <t>Improvements to Roads and Drains in Grape Garden in Ward No.27, Banasawadi.</t>
  </si>
  <si>
    <t>027-17-000044</t>
  </si>
  <si>
    <t>Imporovements to drain and culverts at Venkataswamy layout main road in ward no 27 Banasawadi</t>
  </si>
  <si>
    <t>K.s.Venkatachala,</t>
  </si>
  <si>
    <t>027-17-000051</t>
  </si>
  <si>
    <t>Improvements to Drain at Bhuvanagiri park surrounding in OMBR Layout in ward no 27 Banasawadi</t>
  </si>
  <si>
    <t>Suresh.C,</t>
  </si>
  <si>
    <t>027-17-000048</t>
  </si>
  <si>
    <t>Improvements to drain at CMR College main roads OMBR ground surrounding in ward no 27 Banasawadi</t>
  </si>
  <si>
    <t>Suresh.C</t>
  </si>
  <si>
    <t>027-17-000052</t>
  </si>
  <si>
    <t>Improvements to Drain between 2nd C and 2nd D Cross road park in ward no 27 Banasawadi</t>
  </si>
  <si>
    <t>July</t>
  </si>
  <si>
    <t>027-17-000045</t>
  </si>
  <si>
    <t>Improvements to drain at 7th B main road Aswathappa layout in HRBR 1st Block in ward no 27 Banasawadi</t>
  </si>
  <si>
    <t>MAlayan.P.</t>
  </si>
  <si>
    <t>027-17-000046</t>
  </si>
  <si>
    <t>Improvements to drain at Erappa layout and Balaji layout in ward no 27 Banasawadi</t>
  </si>
  <si>
    <t>Malayan.P,</t>
  </si>
  <si>
    <t>027-16-000005</t>
  </si>
  <si>
    <t>ASPHALTING TO ROADS AT OMBR LAYOUT WATER TANK SURROUNDING AREA IN WARD NO.27, BANASWADI.</t>
  </si>
  <si>
    <t>027-17-000043</t>
  </si>
  <si>
    <t>Improvements to drain and culverts at Sangolli Rayanna road main road in ward no 27 Banasawadi</t>
  </si>
  <si>
    <t>Suresh.S.</t>
  </si>
  <si>
    <t>027-17-000049</t>
  </si>
  <si>
    <t>Improvements to drain at Abbaiah Reddy Layout and Shamanna Layout Surrounding in ward no 27 Banasawadi</t>
  </si>
  <si>
    <t>027-17-000067</t>
  </si>
  <si>
    <t>Construction of open Gymnasium and providing children play equipments to the park in ward no 27 Banasawadi</t>
  </si>
  <si>
    <t>Sri G M Nandkumar</t>
  </si>
  <si>
    <t>P3181</t>
  </si>
  <si>
    <t>Developmental Works in Ward no 183, 29, 190, 177, 168, 13, 14, 3, 4, 89, 27, 126 and 132</t>
  </si>
  <si>
    <t>ddo075</t>
  </si>
  <si>
    <t xml:space="preserve"> Executive Engineer Project East Zone</t>
  </si>
  <si>
    <t>027-17-000064</t>
  </si>
  <si>
    <t>Providing Asphalting to roads at 2nd D 2nd B 2nd C 2nd E cross in OMBR Layout in ward no 27, Banasawadi.</t>
  </si>
  <si>
    <t>027-17-000047</t>
  </si>
  <si>
    <t>Improvements to drain at 4th main 5th main 5th A main in ward no 27 Banasawadi</t>
  </si>
  <si>
    <t>N.Santhosh,</t>
  </si>
  <si>
    <t>September</t>
  </si>
  <si>
    <t>027-18-000016</t>
  </si>
  <si>
    <t>Improvements to Drains at Erappa Reddy Layout Surroundings in Ward No.27</t>
  </si>
  <si>
    <t xml:space="preserve">M/s KRIDL, The Tecnical Manager-01, </t>
  </si>
  <si>
    <t>KRIDL, The Technical Manager -1/2/3/4</t>
  </si>
  <si>
    <t>027-17-000121</t>
  </si>
  <si>
    <t>Providing Modren Dust Bin in Bangalore City in ward no 27</t>
  </si>
  <si>
    <t>Sri.Muttu Vengatraman,</t>
  </si>
  <si>
    <t>027-17-000050</t>
  </si>
  <si>
    <t>Improvements to road and Drains at Chairman Layout in ward no 27 Banasawadi</t>
  </si>
  <si>
    <t>Pradeep,</t>
  </si>
  <si>
    <t>October</t>
  </si>
  <si>
    <t>027-17-000068</t>
  </si>
  <si>
    <t xml:space="preserve">Providing and fixing of LED Street lights in Ward No 27 in Sarvagnanagar Division </t>
  </si>
  <si>
    <t>M/s.Rainbow Electricals</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</si>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</sst>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
  <sheetViews>
    <sheetView tabSelected="1" workbookViewId="0">
      <selection activeCell="A2" sqref="A2"/>
    </sheetView>
  </sheetViews>
  <sheetFormatPr defaultRowHeight="14.5" x14ac:dyDescent="0.35"/>
  <cols>
    <col min="1" max="1" width="5" bestFit="1" customWidth="1"/>
    <col min="2" max="2" width="6.26953125" bestFit="1" customWidth="1"/>
    <col min="3" max="3" width="8.632812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937</v>
      </c>
      <c r="B2" s="6" t="s">
        <v>28</v>
      </c>
      <c r="C2" s="7">
        <v>43565</v>
      </c>
      <c r="D2" s="8">
        <v>27</v>
      </c>
      <c r="E2" s="9" t="s">
        <v>50</v>
      </c>
      <c r="F2" s="8" t="s">
        <v>51</v>
      </c>
      <c r="G2" s="9" t="s">
        <v>52</v>
      </c>
      <c r="H2" s="8" t="str">
        <f>"000144"</f>
        <v>000144</v>
      </c>
      <c r="I2" s="7">
        <v>43382</v>
      </c>
      <c r="J2" s="8" t="str">
        <f>"000187"</f>
        <v>000187</v>
      </c>
      <c r="K2" s="7">
        <v>43509</v>
      </c>
      <c r="L2" s="8" t="str">
        <f>"000343"</f>
        <v>000343</v>
      </c>
      <c r="M2" s="7">
        <v>43509</v>
      </c>
      <c r="N2" s="8">
        <v>18</v>
      </c>
      <c r="O2" s="8" t="str">
        <f>"000254"</f>
        <v>000254</v>
      </c>
      <c r="P2" s="7">
        <v>43564</v>
      </c>
      <c r="Q2" s="10">
        <v>3.2029399999999999</v>
      </c>
      <c r="R2" s="10">
        <v>0.12446</v>
      </c>
      <c r="S2" s="10">
        <v>3.0784799999999999</v>
      </c>
      <c r="T2" s="8">
        <v>8</v>
      </c>
      <c r="U2" s="7">
        <v>43565</v>
      </c>
      <c r="V2" s="8">
        <v>123456789</v>
      </c>
      <c r="W2" s="9" t="s">
        <v>53</v>
      </c>
      <c r="X2" s="8" t="s">
        <v>34</v>
      </c>
      <c r="Y2" s="9" t="s">
        <v>35</v>
      </c>
      <c r="Z2" s="8" t="s">
        <v>54</v>
      </c>
      <c r="AA2" s="9" t="s">
        <v>55</v>
      </c>
      <c r="AB2" s="10">
        <f t="shared" ref="AB2:AB32" si="0">Q2/100</f>
        <v>3.20294E-2</v>
      </c>
    </row>
    <row r="3" spans="1:28" s="4" customFormat="1" ht="13" x14ac:dyDescent="0.3">
      <c r="A3" s="5">
        <v>938</v>
      </c>
      <c r="B3" s="6" t="s">
        <v>28</v>
      </c>
      <c r="C3" s="7">
        <v>43575</v>
      </c>
      <c r="D3" s="8">
        <v>27</v>
      </c>
      <c r="E3" s="9" t="s">
        <v>50</v>
      </c>
      <c r="F3" s="8" t="s">
        <v>56</v>
      </c>
      <c r="G3" s="9" t="s">
        <v>57</v>
      </c>
      <c r="H3" s="8" t="str">
        <f>"000128"</f>
        <v>000128</v>
      </c>
      <c r="I3" s="7">
        <v>43152</v>
      </c>
      <c r="J3" s="8" t="str">
        <f>"000224"</f>
        <v>000224</v>
      </c>
      <c r="K3" s="7">
        <v>43515</v>
      </c>
      <c r="L3" s="8" t="str">
        <f>"000223"</f>
        <v>000223</v>
      </c>
      <c r="M3" s="7">
        <v>43515</v>
      </c>
      <c r="N3" s="8">
        <v>16</v>
      </c>
      <c r="O3" s="8" t="str">
        <f>"001004"</f>
        <v>001004</v>
      </c>
      <c r="P3" s="7">
        <v>43579</v>
      </c>
      <c r="Q3" s="10">
        <v>15.815300000000001</v>
      </c>
      <c r="R3" s="10">
        <v>1.2297199999999999</v>
      </c>
      <c r="S3" s="10">
        <v>14.58558</v>
      </c>
      <c r="T3" s="8">
        <v>20</v>
      </c>
      <c r="U3" s="7">
        <v>43575</v>
      </c>
      <c r="V3" s="8">
        <v>9845036857</v>
      </c>
      <c r="W3" s="9" t="s">
        <v>58</v>
      </c>
      <c r="X3" s="8" t="s">
        <v>29</v>
      </c>
      <c r="Y3" s="9" t="s">
        <v>30</v>
      </c>
      <c r="Z3" s="8" t="s">
        <v>47</v>
      </c>
      <c r="AA3" s="9" t="s">
        <v>48</v>
      </c>
      <c r="AB3" s="10">
        <f t="shared" si="0"/>
        <v>0.15815300000000002</v>
      </c>
    </row>
    <row r="4" spans="1:28" s="4" customFormat="1" ht="13" x14ac:dyDescent="0.3">
      <c r="A4" s="5">
        <v>939</v>
      </c>
      <c r="B4" s="6" t="s">
        <v>28</v>
      </c>
      <c r="C4" s="7">
        <v>43580</v>
      </c>
      <c r="D4" s="8">
        <v>27</v>
      </c>
      <c r="E4" s="9" t="s">
        <v>50</v>
      </c>
      <c r="F4" s="8" t="s">
        <v>59</v>
      </c>
      <c r="G4" s="9" t="s">
        <v>60</v>
      </c>
      <c r="H4" s="8" t="str">
        <f>"000211"</f>
        <v>000211</v>
      </c>
      <c r="I4" s="7">
        <v>42800</v>
      </c>
      <c r="J4" s="8" t="str">
        <f>"000006"</f>
        <v>000006</v>
      </c>
      <c r="K4" s="7">
        <v>42836</v>
      </c>
      <c r="L4" s="8" t="str">
        <f>"000260"</f>
        <v>000260</v>
      </c>
      <c r="M4" s="7">
        <v>42916</v>
      </c>
      <c r="N4" s="8">
        <v>17</v>
      </c>
      <c r="O4" s="8" t="str">
        <f>"000747"</f>
        <v>000747</v>
      </c>
      <c r="P4" s="7">
        <v>43578</v>
      </c>
      <c r="Q4" s="10">
        <v>14.0749</v>
      </c>
      <c r="R4" s="10">
        <v>1.04376</v>
      </c>
      <c r="S4" s="10">
        <v>13.031140000000001</v>
      </c>
      <c r="T4" s="8">
        <v>28</v>
      </c>
      <c r="U4" s="7">
        <v>43580</v>
      </c>
      <c r="V4" s="8">
        <v>9880969199</v>
      </c>
      <c r="W4" s="9" t="s">
        <v>61</v>
      </c>
      <c r="X4" s="8" t="s">
        <v>34</v>
      </c>
      <c r="Y4" s="9" t="s">
        <v>35</v>
      </c>
      <c r="Z4" s="8" t="s">
        <v>54</v>
      </c>
      <c r="AA4" s="9" t="s">
        <v>55</v>
      </c>
      <c r="AB4" s="10">
        <f t="shared" si="0"/>
        <v>0.14074899999999999</v>
      </c>
    </row>
    <row r="5" spans="1:28" s="4" customFormat="1" ht="13" x14ac:dyDescent="0.3">
      <c r="A5" s="5">
        <v>940</v>
      </c>
      <c r="B5" s="6" t="s">
        <v>28</v>
      </c>
      <c r="C5" s="7">
        <v>43580</v>
      </c>
      <c r="D5" s="8">
        <v>27</v>
      </c>
      <c r="E5" s="9" t="s">
        <v>50</v>
      </c>
      <c r="F5" s="8" t="s">
        <v>56</v>
      </c>
      <c r="G5" s="9" t="s">
        <v>57</v>
      </c>
      <c r="H5" s="8" t="str">
        <f>"000128"</f>
        <v>000128</v>
      </c>
      <c r="I5" s="7">
        <v>43152</v>
      </c>
      <c r="J5" s="8" t="str">
        <f>"000014"</f>
        <v>000014</v>
      </c>
      <c r="K5" s="7">
        <v>43600</v>
      </c>
      <c r="L5" s="8" t="str">
        <f>"000011"</f>
        <v>000011</v>
      </c>
      <c r="M5" s="7">
        <v>43600</v>
      </c>
      <c r="N5" s="8">
        <v>16</v>
      </c>
      <c r="O5" s="8" t="str">
        <f>""</f>
        <v/>
      </c>
      <c r="P5" s="7"/>
      <c r="Q5" s="10">
        <v>8.7248099999999997</v>
      </c>
      <c r="R5" s="10">
        <v>1.18682</v>
      </c>
      <c r="S5" s="10">
        <v>7.5379899999999997</v>
      </c>
      <c r="T5" s="8">
        <v>29</v>
      </c>
      <c r="U5" s="7">
        <v>43580</v>
      </c>
      <c r="V5" s="8">
        <v>9845036857</v>
      </c>
      <c r="W5" s="9" t="s">
        <v>58</v>
      </c>
      <c r="X5" s="8" t="s">
        <v>29</v>
      </c>
      <c r="Y5" s="9" t="s">
        <v>30</v>
      </c>
      <c r="Z5" s="8" t="s">
        <v>47</v>
      </c>
      <c r="AA5" s="9" t="s">
        <v>48</v>
      </c>
      <c r="AB5" s="10">
        <f t="shared" si="0"/>
        <v>8.7248099999999995E-2</v>
      </c>
    </row>
    <row r="6" spans="1:28" s="4" customFormat="1" ht="13" x14ac:dyDescent="0.3">
      <c r="A6" s="5">
        <v>941</v>
      </c>
      <c r="B6" s="6" t="s">
        <v>36</v>
      </c>
      <c r="C6" s="7">
        <v>43600</v>
      </c>
      <c r="D6" s="8">
        <v>27</v>
      </c>
      <c r="E6" s="9" t="s">
        <v>50</v>
      </c>
      <c r="F6" s="8" t="s">
        <v>71</v>
      </c>
      <c r="G6" s="9" t="s">
        <v>72</v>
      </c>
      <c r="H6" s="8" t="str">
        <f>"000397"</f>
        <v>000397</v>
      </c>
      <c r="I6" s="7">
        <v>43529</v>
      </c>
      <c r="J6" s="8" t="str">
        <f>"000006"</f>
        <v>000006</v>
      </c>
      <c r="K6" s="7">
        <v>43580</v>
      </c>
      <c r="L6" s="8" t="str">
        <f>"000010"</f>
        <v>000010</v>
      </c>
      <c r="M6" s="7">
        <v>43580</v>
      </c>
      <c r="N6" s="8">
        <v>19</v>
      </c>
      <c r="O6" s="8" t="str">
        <f>"001474"</f>
        <v>001474</v>
      </c>
      <c r="P6" s="7">
        <v>43598</v>
      </c>
      <c r="Q6" s="10">
        <v>49.388550000000002</v>
      </c>
      <c r="R6" s="10">
        <v>2.4190999999999998</v>
      </c>
      <c r="S6" s="10">
        <v>46.969450000000002</v>
      </c>
      <c r="T6" s="8">
        <v>44</v>
      </c>
      <c r="U6" s="7">
        <v>43600</v>
      </c>
      <c r="V6" s="8">
        <v>123456789</v>
      </c>
      <c r="W6" s="9" t="s">
        <v>49</v>
      </c>
      <c r="X6" s="8" t="s">
        <v>41</v>
      </c>
      <c r="Y6" s="9" t="s">
        <v>42</v>
      </c>
      <c r="Z6" s="8" t="s">
        <v>54</v>
      </c>
      <c r="AA6" s="9" t="s">
        <v>55</v>
      </c>
      <c r="AB6" s="10">
        <f t="shared" si="0"/>
        <v>0.49388550000000003</v>
      </c>
    </row>
    <row r="7" spans="1:28" s="4" customFormat="1" ht="13" x14ac:dyDescent="0.3">
      <c r="A7" s="5">
        <v>942</v>
      </c>
      <c r="B7" s="6" t="s">
        <v>36</v>
      </c>
      <c r="C7" s="7">
        <v>43601</v>
      </c>
      <c r="D7" s="8">
        <v>27</v>
      </c>
      <c r="E7" s="9" t="s">
        <v>50</v>
      </c>
      <c r="F7" s="8" t="s">
        <v>73</v>
      </c>
      <c r="G7" s="9" t="s">
        <v>74</v>
      </c>
      <c r="H7" s="8" t="str">
        <f>"000016"</f>
        <v>000016</v>
      </c>
      <c r="I7" s="7">
        <v>43466</v>
      </c>
      <c r="J7" s="8" t="str">
        <f>"000002"</f>
        <v>000002</v>
      </c>
      <c r="K7" s="7">
        <v>43578</v>
      </c>
      <c r="L7" s="8" t="str">
        <f>"000007"</f>
        <v>000007</v>
      </c>
      <c r="M7" s="7">
        <v>43587</v>
      </c>
      <c r="N7" s="8">
        <v>18</v>
      </c>
      <c r="O7" s="8" t="str">
        <f>"001604"</f>
        <v>001604</v>
      </c>
      <c r="P7" s="7">
        <v>43600</v>
      </c>
      <c r="Q7" s="10">
        <v>18.685639999999999</v>
      </c>
      <c r="R7" s="10">
        <v>2.42353</v>
      </c>
      <c r="S7" s="10">
        <v>16.26211</v>
      </c>
      <c r="T7" s="8">
        <v>47</v>
      </c>
      <c r="U7" s="7">
        <v>43601</v>
      </c>
      <c r="V7" s="8">
        <v>9900980808</v>
      </c>
      <c r="W7" s="9" t="s">
        <v>75</v>
      </c>
      <c r="X7" s="8" t="s">
        <v>31</v>
      </c>
      <c r="Y7" s="9" t="s">
        <v>32</v>
      </c>
      <c r="Z7" s="8" t="s">
        <v>76</v>
      </c>
      <c r="AA7" s="9" t="s">
        <v>77</v>
      </c>
      <c r="AB7" s="10">
        <f t="shared" si="0"/>
        <v>0.18685640000000001</v>
      </c>
    </row>
    <row r="8" spans="1:28" s="4" customFormat="1" ht="13" x14ac:dyDescent="0.3">
      <c r="A8" s="5">
        <v>943</v>
      </c>
      <c r="B8" s="6" t="s">
        <v>36</v>
      </c>
      <c r="C8" s="7">
        <v>43609</v>
      </c>
      <c r="D8" s="8">
        <v>27</v>
      </c>
      <c r="E8" s="9" t="s">
        <v>50</v>
      </c>
      <c r="F8" s="8" t="s">
        <v>78</v>
      </c>
      <c r="G8" s="9" t="s">
        <v>79</v>
      </c>
      <c r="H8" s="8" t="str">
        <f>"000093"</f>
        <v>000093</v>
      </c>
      <c r="I8" s="7">
        <v>42992</v>
      </c>
      <c r="J8" s="8" t="str">
        <f>"000024"</f>
        <v>000024</v>
      </c>
      <c r="K8" s="7">
        <v>43026</v>
      </c>
      <c r="L8" s="8" t="str">
        <f>"000247"</f>
        <v>000247</v>
      </c>
      <c r="M8" s="7">
        <v>43026</v>
      </c>
      <c r="N8" s="8">
        <v>17</v>
      </c>
      <c r="O8" s="8" t="str">
        <f>"001880"</f>
        <v>001880</v>
      </c>
      <c r="P8" s="7">
        <v>43607</v>
      </c>
      <c r="Q8" s="10">
        <v>19.310890000000001</v>
      </c>
      <c r="R8" s="10">
        <v>1.032</v>
      </c>
      <c r="S8" s="10">
        <v>18.278890000000001</v>
      </c>
      <c r="T8" s="8">
        <v>57</v>
      </c>
      <c r="U8" s="7">
        <v>43609</v>
      </c>
      <c r="V8" s="8">
        <v>123456789</v>
      </c>
      <c r="W8" s="9" t="s">
        <v>80</v>
      </c>
      <c r="X8" s="8" t="s">
        <v>40</v>
      </c>
      <c r="Y8" s="9" t="s">
        <v>39</v>
      </c>
      <c r="Z8" s="8" t="s">
        <v>54</v>
      </c>
      <c r="AA8" s="9" t="s">
        <v>55</v>
      </c>
      <c r="AB8" s="10">
        <f t="shared" si="0"/>
        <v>0.1931089</v>
      </c>
    </row>
    <row r="9" spans="1:28" s="4" customFormat="1" ht="13" x14ac:dyDescent="0.3">
      <c r="A9" s="5">
        <v>944</v>
      </c>
      <c r="B9" s="6" t="s">
        <v>36</v>
      </c>
      <c r="C9" s="7">
        <v>43609</v>
      </c>
      <c r="D9" s="8">
        <v>27</v>
      </c>
      <c r="E9" s="9" t="s">
        <v>50</v>
      </c>
      <c r="F9" s="8" t="s">
        <v>81</v>
      </c>
      <c r="G9" s="9" t="s">
        <v>82</v>
      </c>
      <c r="H9" s="8" t="str">
        <f>"000038"</f>
        <v>000038</v>
      </c>
      <c r="I9" s="7">
        <v>42892</v>
      </c>
      <c r="J9" s="8" t="str">
        <f>"000079"</f>
        <v>000079</v>
      </c>
      <c r="K9" s="7">
        <v>42916</v>
      </c>
      <c r="L9" s="8" t="str">
        <f>"000267"</f>
        <v>000267</v>
      </c>
      <c r="M9" s="7">
        <v>42916</v>
      </c>
      <c r="N9" s="8">
        <v>17</v>
      </c>
      <c r="O9" s="8" t="str">
        <f>"001985"</f>
        <v>001985</v>
      </c>
      <c r="P9" s="7">
        <v>43607</v>
      </c>
      <c r="Q9" s="10">
        <v>21.358899999999998</v>
      </c>
      <c r="R9" s="10">
        <v>1.56989</v>
      </c>
      <c r="S9" s="10">
        <v>19.789010000000001</v>
      </c>
      <c r="T9" s="8">
        <v>57</v>
      </c>
      <c r="U9" s="7">
        <v>43609</v>
      </c>
      <c r="V9" s="8">
        <v>9449830883</v>
      </c>
      <c r="W9" s="9" t="s">
        <v>83</v>
      </c>
      <c r="X9" s="8" t="s">
        <v>84</v>
      </c>
      <c r="Y9" s="9" t="s">
        <v>85</v>
      </c>
      <c r="Z9" s="8" t="s">
        <v>54</v>
      </c>
      <c r="AA9" s="9" t="s">
        <v>55</v>
      </c>
      <c r="AB9" s="10">
        <f t="shared" si="0"/>
        <v>0.21358899999999997</v>
      </c>
    </row>
    <row r="10" spans="1:28" s="4" customFormat="1" ht="13" x14ac:dyDescent="0.3">
      <c r="A10" s="5">
        <v>945</v>
      </c>
      <c r="B10" s="6" t="s">
        <v>36</v>
      </c>
      <c r="C10" s="7">
        <v>43609</v>
      </c>
      <c r="D10" s="8">
        <v>27</v>
      </c>
      <c r="E10" s="9" t="s">
        <v>50</v>
      </c>
      <c r="F10" s="8" t="s">
        <v>86</v>
      </c>
      <c r="G10" s="9" t="s">
        <v>87</v>
      </c>
      <c r="H10" s="8" t="str">
        <f>"000040"</f>
        <v>000040</v>
      </c>
      <c r="I10" s="7">
        <v>42892</v>
      </c>
      <c r="J10" s="8" t="str">
        <f>"000078"</f>
        <v>000078</v>
      </c>
      <c r="K10" s="7">
        <v>42916</v>
      </c>
      <c r="L10" s="8" t="str">
        <f>"000268"</f>
        <v>000268</v>
      </c>
      <c r="M10" s="7">
        <v>42916</v>
      </c>
      <c r="N10" s="8">
        <v>17</v>
      </c>
      <c r="O10" s="8" t="str">
        <f>"001986"</f>
        <v>001986</v>
      </c>
      <c r="P10" s="7">
        <v>43607</v>
      </c>
      <c r="Q10" s="10">
        <v>21.435770000000002</v>
      </c>
      <c r="R10" s="10">
        <v>1.57555</v>
      </c>
      <c r="S10" s="10">
        <v>19.860220000000002</v>
      </c>
      <c r="T10" s="8">
        <v>57</v>
      </c>
      <c r="U10" s="7">
        <v>43609</v>
      </c>
      <c r="V10" s="8">
        <v>123456789</v>
      </c>
      <c r="W10" s="9" t="s">
        <v>88</v>
      </c>
      <c r="X10" s="8" t="s">
        <v>84</v>
      </c>
      <c r="Y10" s="9" t="s">
        <v>85</v>
      </c>
      <c r="Z10" s="8" t="s">
        <v>54</v>
      </c>
      <c r="AA10" s="9" t="s">
        <v>55</v>
      </c>
      <c r="AB10" s="10">
        <f t="shared" si="0"/>
        <v>0.21435770000000001</v>
      </c>
    </row>
    <row r="11" spans="1:28" s="4" customFormat="1" ht="13" x14ac:dyDescent="0.3">
      <c r="A11" s="5">
        <v>946</v>
      </c>
      <c r="B11" s="6" t="s">
        <v>36</v>
      </c>
      <c r="C11" s="7">
        <v>43609</v>
      </c>
      <c r="D11" s="8">
        <v>27</v>
      </c>
      <c r="E11" s="9" t="s">
        <v>50</v>
      </c>
      <c r="F11" s="8" t="s">
        <v>89</v>
      </c>
      <c r="G11" s="9" t="s">
        <v>90</v>
      </c>
      <c r="H11" s="8" t="str">
        <f>"000025"</f>
        <v>000025</v>
      </c>
      <c r="I11" s="7">
        <v>42892</v>
      </c>
      <c r="J11" s="8" t="str">
        <f>"000077"</f>
        <v>000077</v>
      </c>
      <c r="K11" s="7">
        <v>42916</v>
      </c>
      <c r="L11" s="8" t="str">
        <f>"000269"</f>
        <v>000269</v>
      </c>
      <c r="M11" s="7">
        <v>42916</v>
      </c>
      <c r="N11" s="8">
        <v>17</v>
      </c>
      <c r="O11" s="8" t="str">
        <f>"001987"</f>
        <v>001987</v>
      </c>
      <c r="P11" s="7">
        <v>43607</v>
      </c>
      <c r="Q11" s="10">
        <v>21.439419999999998</v>
      </c>
      <c r="R11" s="10">
        <v>1.5758099999999999</v>
      </c>
      <c r="S11" s="10">
        <v>19.863610000000001</v>
      </c>
      <c r="T11" s="8">
        <v>57</v>
      </c>
      <c r="U11" s="7">
        <v>43609</v>
      </c>
      <c r="V11" s="8">
        <v>123456789</v>
      </c>
      <c r="W11" s="9" t="s">
        <v>88</v>
      </c>
      <c r="X11" s="8" t="s">
        <v>45</v>
      </c>
      <c r="Y11" s="9" t="s">
        <v>46</v>
      </c>
      <c r="Z11" s="8" t="s">
        <v>54</v>
      </c>
      <c r="AA11" s="9" t="s">
        <v>55</v>
      </c>
      <c r="AB11" s="10">
        <f t="shared" si="0"/>
        <v>0.21439419999999998</v>
      </c>
    </row>
    <row r="12" spans="1:28" s="4" customFormat="1" ht="13" x14ac:dyDescent="0.3">
      <c r="A12" s="5">
        <v>947</v>
      </c>
      <c r="B12" s="6" t="s">
        <v>36</v>
      </c>
      <c r="C12" s="7">
        <v>43609</v>
      </c>
      <c r="D12" s="8">
        <v>27</v>
      </c>
      <c r="E12" s="9" t="s">
        <v>50</v>
      </c>
      <c r="F12" s="8" t="s">
        <v>91</v>
      </c>
      <c r="G12" s="9" t="s">
        <v>92</v>
      </c>
      <c r="H12" s="8" t="str">
        <f>"000032"</f>
        <v>000032</v>
      </c>
      <c r="I12" s="7">
        <v>42892</v>
      </c>
      <c r="J12" s="8" t="str">
        <f>"000076"</f>
        <v>000076</v>
      </c>
      <c r="K12" s="7">
        <v>42916</v>
      </c>
      <c r="L12" s="8" t="str">
        <f>"000270"</f>
        <v>000270</v>
      </c>
      <c r="M12" s="7">
        <v>42916</v>
      </c>
      <c r="N12" s="8">
        <v>17</v>
      </c>
      <c r="O12" s="8" t="str">
        <f>"001988"</f>
        <v>001988</v>
      </c>
      <c r="P12" s="7">
        <v>43607</v>
      </c>
      <c r="Q12" s="10">
        <v>20.484829999999999</v>
      </c>
      <c r="R12" s="10">
        <v>1.5056499999999999</v>
      </c>
      <c r="S12" s="10">
        <v>18.979179999999999</v>
      </c>
      <c r="T12" s="8">
        <v>57</v>
      </c>
      <c r="U12" s="7">
        <v>43609</v>
      </c>
      <c r="V12" s="8">
        <v>123456789</v>
      </c>
      <c r="W12" s="9" t="s">
        <v>88</v>
      </c>
      <c r="X12" s="8" t="s">
        <v>45</v>
      </c>
      <c r="Y12" s="9" t="s">
        <v>46</v>
      </c>
      <c r="Z12" s="8" t="s">
        <v>54</v>
      </c>
      <c r="AA12" s="9" t="s">
        <v>55</v>
      </c>
      <c r="AB12" s="10">
        <f t="shared" si="0"/>
        <v>0.20484829999999998</v>
      </c>
    </row>
    <row r="13" spans="1:28" s="4" customFormat="1" ht="13" x14ac:dyDescent="0.3">
      <c r="A13" s="5">
        <v>948</v>
      </c>
      <c r="B13" s="6" t="s">
        <v>36</v>
      </c>
      <c r="C13" s="7">
        <v>43609</v>
      </c>
      <c r="D13" s="8">
        <v>27</v>
      </c>
      <c r="E13" s="9" t="s">
        <v>50</v>
      </c>
      <c r="F13" s="8" t="s">
        <v>93</v>
      </c>
      <c r="G13" s="9" t="s">
        <v>94</v>
      </c>
      <c r="H13" s="8" t="str">
        <f>"000028"</f>
        <v>000028</v>
      </c>
      <c r="I13" s="7">
        <v>42892</v>
      </c>
      <c r="J13" s="8" t="str">
        <f>"000075"</f>
        <v>000075</v>
      </c>
      <c r="K13" s="7">
        <v>42916</v>
      </c>
      <c r="L13" s="8" t="str">
        <f>"000271"</f>
        <v>000271</v>
      </c>
      <c r="M13" s="7">
        <v>42916</v>
      </c>
      <c r="N13" s="8">
        <v>17</v>
      </c>
      <c r="O13" s="8" t="str">
        <f>"001989"</f>
        <v>001989</v>
      </c>
      <c r="P13" s="7">
        <v>43607</v>
      </c>
      <c r="Q13" s="10">
        <v>21.079799999999999</v>
      </c>
      <c r="R13" s="10">
        <v>1.5493699999999999</v>
      </c>
      <c r="S13" s="10">
        <v>19.530429999999999</v>
      </c>
      <c r="T13" s="8">
        <v>57</v>
      </c>
      <c r="U13" s="7">
        <v>43609</v>
      </c>
      <c r="V13" s="8">
        <v>123456789</v>
      </c>
      <c r="W13" s="9" t="s">
        <v>88</v>
      </c>
      <c r="X13" s="8" t="s">
        <v>45</v>
      </c>
      <c r="Y13" s="9" t="s">
        <v>46</v>
      </c>
      <c r="Z13" s="8" t="s">
        <v>54</v>
      </c>
      <c r="AA13" s="9" t="s">
        <v>55</v>
      </c>
      <c r="AB13" s="10">
        <f t="shared" si="0"/>
        <v>0.21079799999999999</v>
      </c>
    </row>
    <row r="14" spans="1:28" s="4" customFormat="1" ht="13" x14ac:dyDescent="0.3">
      <c r="A14" s="5">
        <v>949</v>
      </c>
      <c r="B14" s="6" t="s">
        <v>36</v>
      </c>
      <c r="C14" s="7">
        <v>43609</v>
      </c>
      <c r="D14" s="8">
        <v>27</v>
      </c>
      <c r="E14" s="9" t="s">
        <v>50</v>
      </c>
      <c r="F14" s="8" t="s">
        <v>95</v>
      </c>
      <c r="G14" s="9" t="s">
        <v>96</v>
      </c>
      <c r="H14" s="8" t="str">
        <f>"0.0026"</f>
        <v>0.0026</v>
      </c>
      <c r="I14" s="7">
        <v>42892</v>
      </c>
      <c r="J14" s="8" t="str">
        <f>"000074"</f>
        <v>000074</v>
      </c>
      <c r="K14" s="7">
        <v>42916</v>
      </c>
      <c r="L14" s="8" t="str">
        <f>"000272"</f>
        <v>000272</v>
      </c>
      <c r="M14" s="7">
        <v>42916</v>
      </c>
      <c r="N14" s="8">
        <v>17</v>
      </c>
      <c r="O14" s="8" t="str">
        <f>"001990"</f>
        <v>001990</v>
      </c>
      <c r="P14" s="7">
        <v>43607</v>
      </c>
      <c r="Q14" s="10">
        <v>21.406849999999999</v>
      </c>
      <c r="R14" s="10">
        <v>1.5733999999999999</v>
      </c>
      <c r="S14" s="10">
        <v>19.833449999999999</v>
      </c>
      <c r="T14" s="8">
        <v>57</v>
      </c>
      <c r="U14" s="7">
        <v>43609</v>
      </c>
      <c r="V14" s="8">
        <v>9449830883</v>
      </c>
      <c r="W14" s="9" t="s">
        <v>97</v>
      </c>
      <c r="X14" s="8" t="s">
        <v>45</v>
      </c>
      <c r="Y14" s="9" t="s">
        <v>46</v>
      </c>
      <c r="Z14" s="8" t="s">
        <v>54</v>
      </c>
      <c r="AA14" s="9" t="s">
        <v>55</v>
      </c>
      <c r="AB14" s="10">
        <f t="shared" si="0"/>
        <v>0.21406849999999999</v>
      </c>
    </row>
    <row r="15" spans="1:28" s="4" customFormat="1" ht="13" x14ac:dyDescent="0.3">
      <c r="A15" s="5">
        <v>950</v>
      </c>
      <c r="B15" s="6" t="s">
        <v>36</v>
      </c>
      <c r="C15" s="7">
        <v>43609</v>
      </c>
      <c r="D15" s="8">
        <v>27</v>
      </c>
      <c r="E15" s="9" t="s">
        <v>50</v>
      </c>
      <c r="F15" s="8" t="s">
        <v>98</v>
      </c>
      <c r="G15" s="9" t="s">
        <v>99</v>
      </c>
      <c r="H15" s="8" t="str">
        <f>"000039"</f>
        <v>000039</v>
      </c>
      <c r="I15" s="7">
        <v>42892</v>
      </c>
      <c r="J15" s="8" t="str">
        <f>"000095"</f>
        <v>000095</v>
      </c>
      <c r="K15" s="7">
        <v>42916</v>
      </c>
      <c r="L15" s="8" t="str">
        <f>"000273"</f>
        <v>000273</v>
      </c>
      <c r="M15" s="7">
        <v>42916</v>
      </c>
      <c r="N15" s="8">
        <v>17</v>
      </c>
      <c r="O15" s="8" t="str">
        <f>"001991"</f>
        <v>001991</v>
      </c>
      <c r="P15" s="7">
        <v>43607</v>
      </c>
      <c r="Q15" s="10">
        <v>16.0747</v>
      </c>
      <c r="R15" s="10">
        <v>1.1815</v>
      </c>
      <c r="S15" s="10">
        <v>14.8932</v>
      </c>
      <c r="T15" s="8">
        <v>57</v>
      </c>
      <c r="U15" s="7">
        <v>43609</v>
      </c>
      <c r="V15" s="8">
        <v>123456789</v>
      </c>
      <c r="W15" s="9" t="s">
        <v>88</v>
      </c>
      <c r="X15" s="8" t="s">
        <v>84</v>
      </c>
      <c r="Y15" s="9" t="s">
        <v>85</v>
      </c>
      <c r="Z15" s="8" t="s">
        <v>54</v>
      </c>
      <c r="AA15" s="9" t="s">
        <v>55</v>
      </c>
      <c r="AB15" s="10">
        <f t="shared" si="0"/>
        <v>0.160747</v>
      </c>
    </row>
    <row r="16" spans="1:28" s="4" customFormat="1" ht="13" x14ac:dyDescent="0.3">
      <c r="A16" s="5">
        <v>951</v>
      </c>
      <c r="B16" s="6" t="s">
        <v>36</v>
      </c>
      <c r="C16" s="7">
        <v>43609</v>
      </c>
      <c r="D16" s="8">
        <v>27</v>
      </c>
      <c r="E16" s="9" t="s">
        <v>50</v>
      </c>
      <c r="F16" s="8" t="s">
        <v>100</v>
      </c>
      <c r="G16" s="9" t="s">
        <v>101</v>
      </c>
      <c r="H16" s="8" t="str">
        <f>"000030"</f>
        <v>000030</v>
      </c>
      <c r="I16" s="7">
        <v>42892</v>
      </c>
      <c r="J16" s="8" t="str">
        <f>"000099"</f>
        <v>000099</v>
      </c>
      <c r="K16" s="7">
        <v>42916</v>
      </c>
      <c r="L16" s="8" t="str">
        <f>"000274"</f>
        <v>000274</v>
      </c>
      <c r="M16" s="7">
        <v>42916</v>
      </c>
      <c r="N16" s="8">
        <v>17</v>
      </c>
      <c r="O16" s="8" t="str">
        <f>"001992"</f>
        <v>001992</v>
      </c>
      <c r="P16" s="7">
        <v>43607</v>
      </c>
      <c r="Q16" s="10">
        <v>10.602679999999999</v>
      </c>
      <c r="R16" s="10">
        <v>0.77929999999999999</v>
      </c>
      <c r="S16" s="10">
        <v>9.8233800000000002</v>
      </c>
      <c r="T16" s="8">
        <v>57</v>
      </c>
      <c r="U16" s="7">
        <v>43609</v>
      </c>
      <c r="V16" s="8">
        <v>9449830883</v>
      </c>
      <c r="W16" s="9" t="s">
        <v>83</v>
      </c>
      <c r="X16" s="8" t="s">
        <v>84</v>
      </c>
      <c r="Y16" s="9" t="s">
        <v>85</v>
      </c>
      <c r="Z16" s="8" t="s">
        <v>54</v>
      </c>
      <c r="AA16" s="9" t="s">
        <v>55</v>
      </c>
      <c r="AB16" s="10">
        <f t="shared" si="0"/>
        <v>0.10602679999999999</v>
      </c>
    </row>
    <row r="17" spans="1:28" s="4" customFormat="1" ht="13" x14ac:dyDescent="0.3">
      <c r="A17" s="5">
        <v>952</v>
      </c>
      <c r="B17" s="6" t="s">
        <v>36</v>
      </c>
      <c r="C17" s="7">
        <v>43609</v>
      </c>
      <c r="D17" s="8">
        <v>27</v>
      </c>
      <c r="E17" s="9" t="s">
        <v>50</v>
      </c>
      <c r="F17" s="8" t="s">
        <v>102</v>
      </c>
      <c r="G17" s="9" t="s">
        <v>103</v>
      </c>
      <c r="H17" s="8" t="str">
        <f>"000031"</f>
        <v>000031</v>
      </c>
      <c r="I17" s="7">
        <v>42892</v>
      </c>
      <c r="J17" s="8" t="str">
        <f>"000100"</f>
        <v>000100</v>
      </c>
      <c r="K17" s="7">
        <v>42916</v>
      </c>
      <c r="L17" s="8" t="str">
        <f>"000275"</f>
        <v>000275</v>
      </c>
      <c r="M17" s="7">
        <v>42916</v>
      </c>
      <c r="N17" s="8">
        <v>17</v>
      </c>
      <c r="O17" s="8" t="str">
        <f>"001993"</f>
        <v>001993</v>
      </c>
      <c r="P17" s="7">
        <v>43607</v>
      </c>
      <c r="Q17" s="10">
        <v>15.787179999999999</v>
      </c>
      <c r="R17" s="10">
        <v>1.1603699999999999</v>
      </c>
      <c r="S17" s="10">
        <v>14.626810000000001</v>
      </c>
      <c r="T17" s="8">
        <v>57</v>
      </c>
      <c r="U17" s="7">
        <v>43609</v>
      </c>
      <c r="V17" s="8">
        <v>9449830883</v>
      </c>
      <c r="W17" s="9" t="s">
        <v>88</v>
      </c>
      <c r="X17" s="8" t="s">
        <v>84</v>
      </c>
      <c r="Y17" s="9" t="s">
        <v>85</v>
      </c>
      <c r="Z17" s="8" t="s">
        <v>54</v>
      </c>
      <c r="AA17" s="9" t="s">
        <v>55</v>
      </c>
      <c r="AB17" s="10">
        <f t="shared" si="0"/>
        <v>0.15787180000000001</v>
      </c>
    </row>
    <row r="18" spans="1:28" s="4" customFormat="1" ht="13" x14ac:dyDescent="0.3">
      <c r="A18" s="5">
        <v>953</v>
      </c>
      <c r="B18" s="6" t="s">
        <v>36</v>
      </c>
      <c r="C18" s="7">
        <v>43609</v>
      </c>
      <c r="D18" s="8">
        <v>27</v>
      </c>
      <c r="E18" s="9" t="s">
        <v>50</v>
      </c>
      <c r="F18" s="8" t="s">
        <v>104</v>
      </c>
      <c r="G18" s="9" t="s">
        <v>105</v>
      </c>
      <c r="H18" s="8" t="str">
        <f>"0.0001"</f>
        <v>0.0001</v>
      </c>
      <c r="I18" s="7">
        <v>42527</v>
      </c>
      <c r="J18" s="8" t="str">
        <f>"000094"</f>
        <v>000094</v>
      </c>
      <c r="K18" s="7">
        <v>42916</v>
      </c>
      <c r="L18" s="8" t="str">
        <f>"000276"</f>
        <v>000276</v>
      </c>
      <c r="M18" s="7">
        <v>42916</v>
      </c>
      <c r="N18" s="8">
        <v>17</v>
      </c>
      <c r="O18" s="8" t="str">
        <f>"001994"</f>
        <v>001994</v>
      </c>
      <c r="P18" s="7">
        <v>43607</v>
      </c>
      <c r="Q18" s="10">
        <v>21.37968</v>
      </c>
      <c r="R18" s="10">
        <v>1.5713999999999999</v>
      </c>
      <c r="S18" s="10">
        <v>19.80828</v>
      </c>
      <c r="T18" s="8">
        <v>57</v>
      </c>
      <c r="U18" s="7">
        <v>43609</v>
      </c>
      <c r="V18" s="8">
        <v>123456789</v>
      </c>
      <c r="W18" s="9" t="s">
        <v>88</v>
      </c>
      <c r="X18" s="8" t="s">
        <v>84</v>
      </c>
      <c r="Y18" s="9" t="s">
        <v>85</v>
      </c>
      <c r="Z18" s="8" t="s">
        <v>54</v>
      </c>
      <c r="AA18" s="9" t="s">
        <v>55</v>
      </c>
      <c r="AB18" s="10">
        <f t="shared" si="0"/>
        <v>0.21379680000000001</v>
      </c>
    </row>
    <row r="19" spans="1:28" s="4" customFormat="1" ht="13" x14ac:dyDescent="0.3">
      <c r="A19" s="5">
        <v>954</v>
      </c>
      <c r="B19" s="6" t="s">
        <v>36</v>
      </c>
      <c r="C19" s="7">
        <v>43609</v>
      </c>
      <c r="D19" s="8">
        <v>27</v>
      </c>
      <c r="E19" s="9" t="s">
        <v>50</v>
      </c>
      <c r="F19" s="8" t="s">
        <v>106</v>
      </c>
      <c r="G19" s="9" t="s">
        <v>107</v>
      </c>
      <c r="H19" s="8" t="str">
        <f>"000033"</f>
        <v>000033</v>
      </c>
      <c r="I19" s="7">
        <v>42892</v>
      </c>
      <c r="J19" s="8" t="str">
        <f>"000093"</f>
        <v>000093</v>
      </c>
      <c r="K19" s="7">
        <v>42916</v>
      </c>
      <c r="L19" s="8" t="str">
        <f>"000277"</f>
        <v>000277</v>
      </c>
      <c r="M19" s="7">
        <v>42916</v>
      </c>
      <c r="N19" s="8">
        <v>17</v>
      </c>
      <c r="O19" s="8" t="str">
        <f>"001995"</f>
        <v>001995</v>
      </c>
      <c r="P19" s="7">
        <v>43607</v>
      </c>
      <c r="Q19" s="10">
        <v>15.81775</v>
      </c>
      <c r="R19" s="10">
        <v>1.1626099999999999</v>
      </c>
      <c r="S19" s="10">
        <v>14.655139999999999</v>
      </c>
      <c r="T19" s="8">
        <v>57</v>
      </c>
      <c r="U19" s="7">
        <v>43609</v>
      </c>
      <c r="V19" s="8">
        <v>9449830883</v>
      </c>
      <c r="W19" s="9" t="s">
        <v>88</v>
      </c>
      <c r="X19" s="8" t="s">
        <v>84</v>
      </c>
      <c r="Y19" s="9" t="s">
        <v>85</v>
      </c>
      <c r="Z19" s="8" t="s">
        <v>54</v>
      </c>
      <c r="AA19" s="9" t="s">
        <v>55</v>
      </c>
      <c r="AB19" s="10">
        <f t="shared" si="0"/>
        <v>0.1581775</v>
      </c>
    </row>
    <row r="20" spans="1:28" s="4" customFormat="1" ht="13" x14ac:dyDescent="0.3">
      <c r="A20" s="5">
        <v>955</v>
      </c>
      <c r="B20" s="6" t="s">
        <v>36</v>
      </c>
      <c r="C20" s="7">
        <v>43609</v>
      </c>
      <c r="D20" s="8">
        <v>27</v>
      </c>
      <c r="E20" s="9" t="s">
        <v>50</v>
      </c>
      <c r="F20" s="8" t="s">
        <v>108</v>
      </c>
      <c r="G20" s="9" t="s">
        <v>109</v>
      </c>
      <c r="H20" s="8" t="str">
        <f>"000035"</f>
        <v>000035</v>
      </c>
      <c r="I20" s="7">
        <v>42892</v>
      </c>
      <c r="J20" s="8" t="str">
        <f>"000096"</f>
        <v>000096</v>
      </c>
      <c r="K20" s="7">
        <v>42916</v>
      </c>
      <c r="L20" s="8" t="str">
        <f>"000278"</f>
        <v>000278</v>
      </c>
      <c r="M20" s="7">
        <v>42916</v>
      </c>
      <c r="N20" s="8">
        <v>17</v>
      </c>
      <c r="O20" s="8" t="str">
        <f>"001996"</f>
        <v>001996</v>
      </c>
      <c r="P20" s="7">
        <v>43607</v>
      </c>
      <c r="Q20" s="10">
        <v>15.810169999999999</v>
      </c>
      <c r="R20" s="10">
        <v>1.1620699999999999</v>
      </c>
      <c r="S20" s="10">
        <v>14.648099999999999</v>
      </c>
      <c r="T20" s="8">
        <v>57</v>
      </c>
      <c r="U20" s="7">
        <v>43609</v>
      </c>
      <c r="V20" s="8">
        <v>9449830883</v>
      </c>
      <c r="W20" s="9" t="s">
        <v>83</v>
      </c>
      <c r="X20" s="8" t="s">
        <v>84</v>
      </c>
      <c r="Y20" s="9" t="s">
        <v>85</v>
      </c>
      <c r="Z20" s="8" t="s">
        <v>54</v>
      </c>
      <c r="AA20" s="9" t="s">
        <v>55</v>
      </c>
      <c r="AB20" s="10">
        <f t="shared" si="0"/>
        <v>0.15810169999999998</v>
      </c>
    </row>
    <row r="21" spans="1:28" s="4" customFormat="1" ht="13" x14ac:dyDescent="0.3">
      <c r="A21" s="5">
        <v>956</v>
      </c>
      <c r="B21" s="6" t="s">
        <v>36</v>
      </c>
      <c r="C21" s="7">
        <v>43609</v>
      </c>
      <c r="D21" s="8">
        <v>27</v>
      </c>
      <c r="E21" s="9" t="s">
        <v>50</v>
      </c>
      <c r="F21" s="8" t="s">
        <v>110</v>
      </c>
      <c r="G21" s="9" t="s">
        <v>111</v>
      </c>
      <c r="H21" s="8" t="str">
        <f>"000034"</f>
        <v>000034</v>
      </c>
      <c r="I21" s="7">
        <v>42892</v>
      </c>
      <c r="J21" s="8" t="str">
        <f>"000092"</f>
        <v>000092</v>
      </c>
      <c r="K21" s="7">
        <v>42916</v>
      </c>
      <c r="L21" s="8" t="str">
        <f>"000279"</f>
        <v>000279</v>
      </c>
      <c r="M21" s="7">
        <v>42916</v>
      </c>
      <c r="N21" s="8">
        <v>17</v>
      </c>
      <c r="O21" s="8" t="str">
        <f>"001997"</f>
        <v>001997</v>
      </c>
      <c r="P21" s="7">
        <v>43607</v>
      </c>
      <c r="Q21" s="10">
        <v>21.41291</v>
      </c>
      <c r="R21" s="10">
        <v>1.57386</v>
      </c>
      <c r="S21" s="10">
        <v>19.83905</v>
      </c>
      <c r="T21" s="8">
        <v>57</v>
      </c>
      <c r="U21" s="7">
        <v>43609</v>
      </c>
      <c r="V21" s="8">
        <v>9449830883</v>
      </c>
      <c r="W21" s="9" t="s">
        <v>88</v>
      </c>
      <c r="X21" s="8" t="s">
        <v>84</v>
      </c>
      <c r="Y21" s="9" t="s">
        <v>85</v>
      </c>
      <c r="Z21" s="8" t="s">
        <v>54</v>
      </c>
      <c r="AA21" s="9" t="s">
        <v>55</v>
      </c>
      <c r="AB21" s="10">
        <f t="shared" si="0"/>
        <v>0.21412909999999999</v>
      </c>
    </row>
    <row r="22" spans="1:28" s="4" customFormat="1" ht="13" x14ac:dyDescent="0.3">
      <c r="A22" s="5">
        <v>957</v>
      </c>
      <c r="B22" s="6" t="s">
        <v>36</v>
      </c>
      <c r="C22" s="7">
        <v>43609</v>
      </c>
      <c r="D22" s="8">
        <v>27</v>
      </c>
      <c r="E22" s="9" t="s">
        <v>50</v>
      </c>
      <c r="F22" s="8" t="s">
        <v>112</v>
      </c>
      <c r="G22" s="9" t="s">
        <v>113</v>
      </c>
      <c r="H22" s="8" t="str">
        <f>"000029"</f>
        <v>000029</v>
      </c>
      <c r="I22" s="7">
        <v>42892</v>
      </c>
      <c r="J22" s="8" t="str">
        <f>"000097"</f>
        <v>000097</v>
      </c>
      <c r="K22" s="7">
        <v>42916</v>
      </c>
      <c r="L22" s="8" t="str">
        <f>"000280"</f>
        <v>000280</v>
      </c>
      <c r="M22" s="7">
        <v>42916</v>
      </c>
      <c r="N22" s="8">
        <v>17</v>
      </c>
      <c r="O22" s="8" t="str">
        <f>"001998"</f>
        <v>001998</v>
      </c>
      <c r="P22" s="7">
        <v>43607</v>
      </c>
      <c r="Q22" s="10">
        <v>15.943989999999999</v>
      </c>
      <c r="R22" s="10">
        <v>1.17187</v>
      </c>
      <c r="S22" s="10">
        <v>14.772119999999999</v>
      </c>
      <c r="T22" s="8">
        <v>57</v>
      </c>
      <c r="U22" s="7">
        <v>43609</v>
      </c>
      <c r="V22" s="8">
        <v>123456789</v>
      </c>
      <c r="W22" s="9" t="s">
        <v>88</v>
      </c>
      <c r="X22" s="8" t="s">
        <v>84</v>
      </c>
      <c r="Y22" s="9" t="s">
        <v>85</v>
      </c>
      <c r="Z22" s="8" t="s">
        <v>54</v>
      </c>
      <c r="AA22" s="9" t="s">
        <v>55</v>
      </c>
      <c r="AB22" s="10">
        <f t="shared" si="0"/>
        <v>0.1594399</v>
      </c>
    </row>
    <row r="23" spans="1:28" s="4" customFormat="1" ht="13" x14ac:dyDescent="0.3">
      <c r="A23" s="5">
        <v>958</v>
      </c>
      <c r="B23" s="6" t="s">
        <v>36</v>
      </c>
      <c r="C23" s="7">
        <v>43609</v>
      </c>
      <c r="D23" s="8">
        <v>27</v>
      </c>
      <c r="E23" s="9" t="s">
        <v>50</v>
      </c>
      <c r="F23" s="8" t="s">
        <v>114</v>
      </c>
      <c r="G23" s="9" t="s">
        <v>115</v>
      </c>
      <c r="H23" s="8" t="str">
        <f>"0.0037"</f>
        <v>0.0037</v>
      </c>
      <c r="I23" s="7">
        <v>42892</v>
      </c>
      <c r="J23" s="8" t="str">
        <f>"000098"</f>
        <v>000098</v>
      </c>
      <c r="K23" s="7">
        <v>42916</v>
      </c>
      <c r="L23" s="8" t="str">
        <f>"000281"</f>
        <v>000281</v>
      </c>
      <c r="M23" s="7">
        <v>42916</v>
      </c>
      <c r="N23" s="8">
        <v>17</v>
      </c>
      <c r="O23" s="8" t="str">
        <f>"001999"</f>
        <v>001999</v>
      </c>
      <c r="P23" s="7">
        <v>43607</v>
      </c>
      <c r="Q23" s="10">
        <v>15.83445</v>
      </c>
      <c r="R23" s="10">
        <v>1.1638500000000001</v>
      </c>
      <c r="S23" s="10">
        <v>14.6706</v>
      </c>
      <c r="T23" s="8">
        <v>57</v>
      </c>
      <c r="U23" s="7">
        <v>43609</v>
      </c>
      <c r="V23" s="8">
        <v>9449830883</v>
      </c>
      <c r="W23" s="9" t="s">
        <v>83</v>
      </c>
      <c r="X23" s="8" t="s">
        <v>84</v>
      </c>
      <c r="Y23" s="9" t="s">
        <v>85</v>
      </c>
      <c r="Z23" s="8" t="s">
        <v>54</v>
      </c>
      <c r="AA23" s="9" t="s">
        <v>55</v>
      </c>
      <c r="AB23" s="10">
        <f t="shared" si="0"/>
        <v>0.1583445</v>
      </c>
    </row>
    <row r="24" spans="1:28" s="4" customFormat="1" ht="13" x14ac:dyDescent="0.3">
      <c r="A24" s="5">
        <v>959</v>
      </c>
      <c r="B24" s="6" t="s">
        <v>36</v>
      </c>
      <c r="C24" s="7">
        <v>43610</v>
      </c>
      <c r="D24" s="8">
        <v>27</v>
      </c>
      <c r="E24" s="9" t="s">
        <v>50</v>
      </c>
      <c r="F24" s="8" t="s">
        <v>116</v>
      </c>
      <c r="G24" s="9" t="s">
        <v>117</v>
      </c>
      <c r="H24" s="8" t="str">
        <f>"000404"</f>
        <v>000404</v>
      </c>
      <c r="I24" s="7">
        <v>43531</v>
      </c>
      <c r="J24" s="8" t="str">
        <f>"000004"</f>
        <v>000004</v>
      </c>
      <c r="K24" s="7">
        <v>43577</v>
      </c>
      <c r="L24" s="8" t="str">
        <f>"000007"</f>
        <v>000007</v>
      </c>
      <c r="M24" s="7">
        <v>43577</v>
      </c>
      <c r="N24" s="8">
        <v>17</v>
      </c>
      <c r="O24" s="8" t="str">
        <f>"001856"</f>
        <v>001856</v>
      </c>
      <c r="P24" s="7">
        <v>43606</v>
      </c>
      <c r="Q24" s="10">
        <v>8.3414999999999999</v>
      </c>
      <c r="R24" s="10">
        <v>0.34072000000000002</v>
      </c>
      <c r="S24" s="10">
        <v>8.0007800000000007</v>
      </c>
      <c r="T24" s="8">
        <v>58</v>
      </c>
      <c r="U24" s="7">
        <v>43610</v>
      </c>
      <c r="V24" s="8">
        <v>123456789</v>
      </c>
      <c r="W24" s="9" t="s">
        <v>118</v>
      </c>
      <c r="X24" s="8" t="s">
        <v>43</v>
      </c>
      <c r="Y24" s="9" t="s">
        <v>44</v>
      </c>
      <c r="Z24" s="8" t="s">
        <v>54</v>
      </c>
      <c r="AA24" s="9" t="s">
        <v>55</v>
      </c>
      <c r="AB24" s="10">
        <f t="shared" si="0"/>
        <v>8.3415000000000003E-2</v>
      </c>
    </row>
    <row r="25" spans="1:28" s="4" customFormat="1" ht="13" x14ac:dyDescent="0.3">
      <c r="A25" s="5">
        <v>960</v>
      </c>
      <c r="B25" s="6" t="s">
        <v>36</v>
      </c>
      <c r="C25" s="7">
        <v>43615</v>
      </c>
      <c r="D25" s="8">
        <v>27</v>
      </c>
      <c r="E25" s="9" t="s">
        <v>50</v>
      </c>
      <c r="F25" s="8" t="s">
        <v>119</v>
      </c>
      <c r="G25" s="9" t="s">
        <v>120</v>
      </c>
      <c r="H25" s="8" t="str">
        <f>"000023"</f>
        <v>000023</v>
      </c>
      <c r="I25" s="7">
        <v>41802</v>
      </c>
      <c r="J25" s="8" t="str">
        <f>"000021"</f>
        <v>000021</v>
      </c>
      <c r="K25" s="7">
        <v>43023</v>
      </c>
      <c r="L25" s="8" t="str">
        <f>"000243"</f>
        <v>000243</v>
      </c>
      <c r="M25" s="7">
        <v>43023</v>
      </c>
      <c r="N25" s="8">
        <v>14</v>
      </c>
      <c r="O25" s="8" t="str">
        <f>"002118"</f>
        <v>002118</v>
      </c>
      <c r="P25" s="7">
        <v>43613</v>
      </c>
      <c r="Q25" s="10">
        <v>17.199680000000001</v>
      </c>
      <c r="R25" s="10">
        <v>2.3813</v>
      </c>
      <c r="S25" s="10">
        <v>14.818379999999999</v>
      </c>
      <c r="T25" s="8">
        <v>65</v>
      </c>
      <c r="U25" s="7">
        <v>43615</v>
      </c>
      <c r="V25" s="8">
        <v>123456789</v>
      </c>
      <c r="W25" s="9" t="s">
        <v>121</v>
      </c>
      <c r="X25" s="8" t="s">
        <v>122</v>
      </c>
      <c r="Y25" s="9" t="s">
        <v>123</v>
      </c>
      <c r="Z25" s="8" t="s">
        <v>54</v>
      </c>
      <c r="AA25" s="9" t="s">
        <v>55</v>
      </c>
      <c r="AB25" s="10">
        <f t="shared" si="0"/>
        <v>0.17199680000000001</v>
      </c>
    </row>
    <row r="26" spans="1:28" s="4" customFormat="1" ht="13" x14ac:dyDescent="0.3">
      <c r="A26" s="5">
        <v>961</v>
      </c>
      <c r="B26" s="6" t="s">
        <v>36</v>
      </c>
      <c r="C26" s="7">
        <v>43615</v>
      </c>
      <c r="D26" s="8">
        <v>27</v>
      </c>
      <c r="E26" s="9" t="s">
        <v>50</v>
      </c>
      <c r="F26" s="8" t="s">
        <v>124</v>
      </c>
      <c r="G26" s="9" t="s">
        <v>125</v>
      </c>
      <c r="H26" s="8" t="str">
        <f>"0.0026"</f>
        <v>0.0026</v>
      </c>
      <c r="I26" s="7">
        <v>41802</v>
      </c>
      <c r="J26" s="8" t="str">
        <f>"000022"</f>
        <v>000022</v>
      </c>
      <c r="K26" s="7">
        <v>43023</v>
      </c>
      <c r="L26" s="8" t="str">
        <f>"000244"</f>
        <v>000244</v>
      </c>
      <c r="M26" s="7">
        <v>43023</v>
      </c>
      <c r="N26" s="8">
        <v>14</v>
      </c>
      <c r="O26" s="8" t="str">
        <f>"002126"</f>
        <v>002126</v>
      </c>
      <c r="P26" s="7">
        <v>43613</v>
      </c>
      <c r="Q26" s="10">
        <v>18.774280000000001</v>
      </c>
      <c r="R26" s="10">
        <v>2.1678000000000002</v>
      </c>
      <c r="S26" s="10">
        <v>16.606480000000001</v>
      </c>
      <c r="T26" s="8">
        <v>65</v>
      </c>
      <c r="U26" s="7">
        <v>43615</v>
      </c>
      <c r="V26" s="8">
        <v>123456789</v>
      </c>
      <c r="W26" s="9" t="s">
        <v>121</v>
      </c>
      <c r="X26" s="8" t="s">
        <v>122</v>
      </c>
      <c r="Y26" s="9" t="s">
        <v>123</v>
      </c>
      <c r="Z26" s="8" t="s">
        <v>54</v>
      </c>
      <c r="AA26" s="9" t="s">
        <v>55</v>
      </c>
      <c r="AB26" s="10">
        <f t="shared" si="0"/>
        <v>0.18774280000000002</v>
      </c>
    </row>
    <row r="27" spans="1:28" s="4" customFormat="1" ht="13" x14ac:dyDescent="0.3">
      <c r="A27" s="5">
        <v>962</v>
      </c>
      <c r="B27" s="6" t="s">
        <v>36</v>
      </c>
      <c r="C27" s="7">
        <v>43615</v>
      </c>
      <c r="D27" s="8">
        <v>27</v>
      </c>
      <c r="E27" s="9" t="s">
        <v>50</v>
      </c>
      <c r="F27" s="8" t="s">
        <v>126</v>
      </c>
      <c r="G27" s="9" t="s">
        <v>127</v>
      </c>
      <c r="H27" s="8" t="str">
        <f>"000339"</f>
        <v>000339</v>
      </c>
      <c r="I27" s="7">
        <v>41348</v>
      </c>
      <c r="J27" s="8" t="str">
        <f>"000023"</f>
        <v>000023</v>
      </c>
      <c r="K27" s="7">
        <v>43023</v>
      </c>
      <c r="L27" s="8" t="str">
        <f>"000245"</f>
        <v>000245</v>
      </c>
      <c r="M27" s="7">
        <v>43023</v>
      </c>
      <c r="N27" s="8">
        <v>13</v>
      </c>
      <c r="O27" s="8" t="str">
        <f>"002131"</f>
        <v>002131</v>
      </c>
      <c r="P27" s="7">
        <v>43613</v>
      </c>
      <c r="Q27" s="10">
        <v>13.52614</v>
      </c>
      <c r="R27" s="10">
        <v>1.5798000000000001</v>
      </c>
      <c r="S27" s="10">
        <v>11.946339999999999</v>
      </c>
      <c r="T27" s="8">
        <v>65</v>
      </c>
      <c r="U27" s="7">
        <v>43615</v>
      </c>
      <c r="V27" s="8">
        <v>123456789</v>
      </c>
      <c r="W27" s="9" t="s">
        <v>128</v>
      </c>
      <c r="X27" s="8" t="s">
        <v>129</v>
      </c>
      <c r="Y27" s="9" t="s">
        <v>130</v>
      </c>
      <c r="Z27" s="8" t="s">
        <v>54</v>
      </c>
      <c r="AA27" s="9" t="s">
        <v>55</v>
      </c>
      <c r="AB27" s="10">
        <f t="shared" si="0"/>
        <v>0.1352614</v>
      </c>
    </row>
    <row r="28" spans="1:28" s="4" customFormat="1" ht="13" x14ac:dyDescent="0.3">
      <c r="A28" s="5">
        <v>963</v>
      </c>
      <c r="B28" s="6" t="s">
        <v>36</v>
      </c>
      <c r="C28" s="7">
        <v>43615</v>
      </c>
      <c r="D28" s="8">
        <v>27</v>
      </c>
      <c r="E28" s="9" t="s">
        <v>50</v>
      </c>
      <c r="F28" s="8" t="s">
        <v>131</v>
      </c>
      <c r="G28" s="9" t="s">
        <v>132</v>
      </c>
      <c r="H28" s="8" t="str">
        <f>"000106"</f>
        <v>000106</v>
      </c>
      <c r="I28" s="7">
        <v>42993</v>
      </c>
      <c r="J28" s="8" t="str">
        <f>"000032"</f>
        <v>000032</v>
      </c>
      <c r="K28" s="7">
        <v>43047</v>
      </c>
      <c r="L28" s="8" t="str">
        <f>"000266"</f>
        <v>000266</v>
      </c>
      <c r="M28" s="7">
        <v>43047</v>
      </c>
      <c r="N28" s="8">
        <v>17</v>
      </c>
      <c r="O28" s="8" t="str">
        <f>"002199"</f>
        <v>002199</v>
      </c>
      <c r="P28" s="7">
        <v>43613</v>
      </c>
      <c r="Q28" s="10">
        <v>14.06</v>
      </c>
      <c r="R28" s="10">
        <v>0.76529999999999998</v>
      </c>
      <c r="S28" s="10">
        <v>13.294700000000001</v>
      </c>
      <c r="T28" s="8">
        <v>65</v>
      </c>
      <c r="U28" s="7">
        <v>43615</v>
      </c>
      <c r="V28" s="8">
        <v>123456789</v>
      </c>
      <c r="W28" s="9" t="s">
        <v>64</v>
      </c>
      <c r="X28" s="8" t="s">
        <v>34</v>
      </c>
      <c r="Y28" s="9" t="s">
        <v>35</v>
      </c>
      <c r="Z28" s="8" t="s">
        <v>54</v>
      </c>
      <c r="AA28" s="9" t="s">
        <v>55</v>
      </c>
      <c r="AB28" s="10">
        <f t="shared" si="0"/>
        <v>0.1406</v>
      </c>
    </row>
    <row r="29" spans="1:28" s="4" customFormat="1" ht="13" x14ac:dyDescent="0.3">
      <c r="A29" s="5">
        <v>964</v>
      </c>
      <c r="B29" s="6" t="s">
        <v>36</v>
      </c>
      <c r="C29" s="7">
        <v>43615</v>
      </c>
      <c r="D29" s="8">
        <v>27</v>
      </c>
      <c r="E29" s="9" t="s">
        <v>50</v>
      </c>
      <c r="F29" s="8" t="s">
        <v>133</v>
      </c>
      <c r="G29" s="9" t="s">
        <v>134</v>
      </c>
      <c r="H29" s="8" t="str">
        <f>"000114"</f>
        <v>000114</v>
      </c>
      <c r="I29" s="7">
        <v>42998</v>
      </c>
      <c r="J29" s="8" t="str">
        <f>"000041"</f>
        <v>000041</v>
      </c>
      <c r="K29" s="7">
        <v>43062</v>
      </c>
      <c r="L29" s="8" t="str">
        <f>"000274"</f>
        <v>000274</v>
      </c>
      <c r="M29" s="7">
        <v>43062</v>
      </c>
      <c r="N29" s="8">
        <v>17</v>
      </c>
      <c r="O29" s="8" t="str">
        <f>"002200"</f>
        <v>002200</v>
      </c>
      <c r="P29" s="7">
        <v>43613</v>
      </c>
      <c r="Q29" s="10">
        <v>19.187830000000002</v>
      </c>
      <c r="R29" s="10">
        <v>1.0585</v>
      </c>
      <c r="S29" s="10">
        <v>18.12933</v>
      </c>
      <c r="T29" s="8">
        <v>65</v>
      </c>
      <c r="U29" s="7">
        <v>43615</v>
      </c>
      <c r="V29" s="8">
        <v>123456789</v>
      </c>
      <c r="W29" s="9" t="s">
        <v>135</v>
      </c>
      <c r="X29" s="8" t="s">
        <v>40</v>
      </c>
      <c r="Y29" s="9" t="s">
        <v>39</v>
      </c>
      <c r="Z29" s="8" t="s">
        <v>54</v>
      </c>
      <c r="AA29" s="9" t="s">
        <v>55</v>
      </c>
      <c r="AB29" s="10">
        <f t="shared" si="0"/>
        <v>0.19187830000000003</v>
      </c>
    </row>
    <row r="30" spans="1:28" s="4" customFormat="1" ht="13" x14ac:dyDescent="0.3">
      <c r="A30" s="5">
        <v>965</v>
      </c>
      <c r="B30" s="6" t="s">
        <v>36</v>
      </c>
      <c r="C30" s="7">
        <v>43615</v>
      </c>
      <c r="D30" s="8">
        <v>27</v>
      </c>
      <c r="E30" s="9" t="s">
        <v>50</v>
      </c>
      <c r="F30" s="8" t="s">
        <v>136</v>
      </c>
      <c r="G30" s="9" t="s">
        <v>137</v>
      </c>
      <c r="H30" s="8" t="str">
        <f>"000042"</f>
        <v>000042</v>
      </c>
      <c r="I30" s="7">
        <v>42892</v>
      </c>
      <c r="J30" s="8" t="str">
        <f>"000027"</f>
        <v>000027</v>
      </c>
      <c r="K30" s="7">
        <v>43039</v>
      </c>
      <c r="L30" s="8" t="str">
        <f>"000258"</f>
        <v>000258</v>
      </c>
      <c r="M30" s="7">
        <v>43039</v>
      </c>
      <c r="N30" s="8">
        <v>17</v>
      </c>
      <c r="O30" s="8" t="str">
        <f>"002218"</f>
        <v>002218</v>
      </c>
      <c r="P30" s="7">
        <v>43613</v>
      </c>
      <c r="Q30" s="10">
        <v>19.891030000000001</v>
      </c>
      <c r="R30" s="10">
        <v>1.0185</v>
      </c>
      <c r="S30" s="10">
        <v>18.872530000000001</v>
      </c>
      <c r="T30" s="8">
        <v>65</v>
      </c>
      <c r="U30" s="7">
        <v>43615</v>
      </c>
      <c r="V30" s="8">
        <v>9448718404</v>
      </c>
      <c r="W30" s="9" t="s">
        <v>138</v>
      </c>
      <c r="X30" s="8" t="s">
        <v>40</v>
      </c>
      <c r="Y30" s="9" t="s">
        <v>39</v>
      </c>
      <c r="Z30" s="8" t="s">
        <v>54</v>
      </c>
      <c r="AA30" s="9" t="s">
        <v>55</v>
      </c>
      <c r="AB30" s="10">
        <f t="shared" si="0"/>
        <v>0.19891030000000001</v>
      </c>
    </row>
    <row r="31" spans="1:28" s="4" customFormat="1" ht="13" x14ac:dyDescent="0.3">
      <c r="A31" s="5">
        <v>966</v>
      </c>
      <c r="B31" s="6" t="s">
        <v>36</v>
      </c>
      <c r="C31" s="7">
        <v>43615</v>
      </c>
      <c r="D31" s="8">
        <v>27</v>
      </c>
      <c r="E31" s="9" t="s">
        <v>50</v>
      </c>
      <c r="F31" s="8" t="s">
        <v>139</v>
      </c>
      <c r="G31" s="9" t="s">
        <v>140</v>
      </c>
      <c r="H31" s="8" t="str">
        <f>"000043"</f>
        <v>000043</v>
      </c>
      <c r="I31" s="7">
        <v>42892</v>
      </c>
      <c r="J31" s="8" t="str">
        <f>"000028"</f>
        <v>000028</v>
      </c>
      <c r="K31" s="7">
        <v>43039</v>
      </c>
      <c r="L31" s="8" t="str">
        <f>"000259"</f>
        <v>000259</v>
      </c>
      <c r="M31" s="7">
        <v>43039</v>
      </c>
      <c r="N31" s="8">
        <v>17</v>
      </c>
      <c r="O31" s="8" t="str">
        <f>"002219"</f>
        <v>002219</v>
      </c>
      <c r="P31" s="7">
        <v>43613</v>
      </c>
      <c r="Q31" s="10">
        <v>19.969950000000001</v>
      </c>
      <c r="R31" s="10">
        <v>1.0215000000000001</v>
      </c>
      <c r="S31" s="10">
        <v>18.948450000000001</v>
      </c>
      <c r="T31" s="8">
        <v>65</v>
      </c>
      <c r="U31" s="7">
        <v>43615</v>
      </c>
      <c r="V31" s="8">
        <v>9448718404</v>
      </c>
      <c r="W31" s="9" t="s">
        <v>141</v>
      </c>
      <c r="X31" s="8" t="s">
        <v>40</v>
      </c>
      <c r="Y31" s="9" t="s">
        <v>39</v>
      </c>
      <c r="Z31" s="8" t="s">
        <v>54</v>
      </c>
      <c r="AA31" s="9" t="s">
        <v>55</v>
      </c>
      <c r="AB31" s="10">
        <f t="shared" si="0"/>
        <v>0.1996995</v>
      </c>
    </row>
    <row r="32" spans="1:28" s="4" customFormat="1" ht="13" x14ac:dyDescent="0.3">
      <c r="A32" s="5">
        <v>967</v>
      </c>
      <c r="B32" s="6" t="s">
        <v>36</v>
      </c>
      <c r="C32" s="7">
        <v>43615</v>
      </c>
      <c r="D32" s="8">
        <v>27</v>
      </c>
      <c r="E32" s="9" t="s">
        <v>50</v>
      </c>
      <c r="F32" s="8" t="s">
        <v>142</v>
      </c>
      <c r="G32" s="9" t="s">
        <v>143</v>
      </c>
      <c r="H32" s="8" t="str">
        <f>"000041"</f>
        <v>000041</v>
      </c>
      <c r="I32" s="7">
        <v>42892</v>
      </c>
      <c r="J32" s="8" t="str">
        <f>"000029"</f>
        <v>000029</v>
      </c>
      <c r="K32" s="7">
        <v>43039</v>
      </c>
      <c r="L32" s="8" t="str">
        <f>"000260"</f>
        <v>000260</v>
      </c>
      <c r="M32" s="7">
        <v>43039</v>
      </c>
      <c r="N32" s="8">
        <v>17</v>
      </c>
      <c r="O32" s="8" t="str">
        <f>"002220"</f>
        <v>002220</v>
      </c>
      <c r="P32" s="7">
        <v>43613</v>
      </c>
      <c r="Q32" s="10">
        <v>19.955310000000001</v>
      </c>
      <c r="R32" s="10">
        <v>1.0235000000000001</v>
      </c>
      <c r="S32" s="10">
        <v>18.931809999999999</v>
      </c>
      <c r="T32" s="8">
        <v>65</v>
      </c>
      <c r="U32" s="7">
        <v>43615</v>
      </c>
      <c r="V32" s="8">
        <v>9448718404</v>
      </c>
      <c r="W32" s="9" t="s">
        <v>138</v>
      </c>
      <c r="X32" s="8" t="s">
        <v>40</v>
      </c>
      <c r="Y32" s="9" t="s">
        <v>39</v>
      </c>
      <c r="Z32" s="8" t="s">
        <v>54</v>
      </c>
      <c r="AA32" s="9" t="s">
        <v>55</v>
      </c>
      <c r="AB32" s="10">
        <f t="shared" si="0"/>
        <v>0.19955310000000001</v>
      </c>
    </row>
    <row r="33" spans="1:28" s="4" customFormat="1" ht="13" x14ac:dyDescent="0.3">
      <c r="A33" s="5">
        <v>968</v>
      </c>
      <c r="B33" s="6" t="s">
        <v>33</v>
      </c>
      <c r="C33" s="7">
        <v>43628</v>
      </c>
      <c r="D33" s="8">
        <v>27</v>
      </c>
      <c r="E33" s="9" t="s">
        <v>50</v>
      </c>
      <c r="F33" s="8" t="s">
        <v>62</v>
      </c>
      <c r="G33" s="9" t="s">
        <v>63</v>
      </c>
      <c r="H33" s="8" t="str">
        <f>"000098"</f>
        <v>000098</v>
      </c>
      <c r="I33" s="7">
        <v>42993</v>
      </c>
      <c r="J33" s="8" t="str">
        <f>"000063"</f>
        <v>000063</v>
      </c>
      <c r="K33" s="7">
        <v>43094</v>
      </c>
      <c r="L33" s="8" t="str">
        <f>"000302"</f>
        <v>000302</v>
      </c>
      <c r="M33" s="7">
        <v>43095</v>
      </c>
      <c r="N33" s="8">
        <v>17</v>
      </c>
      <c r="O33" s="8" t="str">
        <f>"002612"</f>
        <v>002612</v>
      </c>
      <c r="P33" s="7">
        <v>43627</v>
      </c>
      <c r="Q33" s="10">
        <v>18.591149999999999</v>
      </c>
      <c r="R33" s="10">
        <v>0.97550000000000003</v>
      </c>
      <c r="S33" s="10">
        <v>17.615649999999999</v>
      </c>
      <c r="T33" s="8">
        <v>76</v>
      </c>
      <c r="U33" s="7">
        <v>43628</v>
      </c>
      <c r="V33" s="8">
        <v>8494946891</v>
      </c>
      <c r="W33" s="9" t="s">
        <v>64</v>
      </c>
      <c r="X33" s="8" t="s">
        <v>34</v>
      </c>
      <c r="Y33" s="9" t="s">
        <v>35</v>
      </c>
      <c r="Z33" s="8" t="s">
        <v>54</v>
      </c>
      <c r="AA33" s="9" t="s">
        <v>55</v>
      </c>
      <c r="AB33" s="10">
        <v>0.18591149999999998</v>
      </c>
    </row>
    <row r="34" spans="1:28" s="4" customFormat="1" ht="13" x14ac:dyDescent="0.3">
      <c r="A34" s="5">
        <v>969</v>
      </c>
      <c r="B34" s="6" t="s">
        <v>33</v>
      </c>
      <c r="C34" s="7">
        <v>43628</v>
      </c>
      <c r="D34" s="8">
        <v>27</v>
      </c>
      <c r="E34" s="9" t="s">
        <v>50</v>
      </c>
      <c r="F34" s="8" t="s">
        <v>65</v>
      </c>
      <c r="G34" s="9" t="s">
        <v>66</v>
      </c>
      <c r="H34" s="8" t="str">
        <f>"000198"</f>
        <v>000198</v>
      </c>
      <c r="I34" s="7">
        <v>41220</v>
      </c>
      <c r="J34" s="8" t="str">
        <f>"000129"</f>
        <v>000129</v>
      </c>
      <c r="K34" s="7">
        <v>42732</v>
      </c>
      <c r="L34" s="8" t="str">
        <f>"000391"</f>
        <v>000391</v>
      </c>
      <c r="M34" s="7">
        <v>42757</v>
      </c>
      <c r="N34" s="8">
        <v>11</v>
      </c>
      <c r="O34" s="8" t="str">
        <f>"002398"</f>
        <v>002398</v>
      </c>
      <c r="P34" s="7">
        <v>43619</v>
      </c>
      <c r="Q34" s="10">
        <v>5.7141599999999997</v>
      </c>
      <c r="R34" s="10">
        <v>0.56699999999999995</v>
      </c>
      <c r="S34" s="10">
        <v>5.1471600000000004</v>
      </c>
      <c r="T34" s="8">
        <v>77</v>
      </c>
      <c r="U34" s="7">
        <v>43628</v>
      </c>
      <c r="V34" s="8">
        <v>9916302628</v>
      </c>
      <c r="W34" s="9" t="s">
        <v>67</v>
      </c>
      <c r="X34" s="8" t="s">
        <v>38</v>
      </c>
      <c r="Y34" s="9" t="s">
        <v>37</v>
      </c>
      <c r="Z34" s="8" t="s">
        <v>54</v>
      </c>
      <c r="AA34" s="9" t="s">
        <v>55</v>
      </c>
      <c r="AB34" s="10">
        <v>5.7141599999999994E-2</v>
      </c>
    </row>
    <row r="35" spans="1:28" s="4" customFormat="1" ht="13" x14ac:dyDescent="0.3">
      <c r="A35" s="5">
        <v>970</v>
      </c>
      <c r="B35" s="6" t="s">
        <v>33</v>
      </c>
      <c r="C35" s="7">
        <v>43628</v>
      </c>
      <c r="D35" s="8">
        <v>27</v>
      </c>
      <c r="E35" s="9" t="s">
        <v>50</v>
      </c>
      <c r="F35" s="8" t="s">
        <v>68</v>
      </c>
      <c r="G35" s="9" t="s">
        <v>69</v>
      </c>
      <c r="H35" s="8" t="str">
        <f>"000120"</f>
        <v>000120</v>
      </c>
      <c r="I35" s="7">
        <v>43004</v>
      </c>
      <c r="J35" s="8" t="str">
        <f>"000036"</f>
        <v>000036</v>
      </c>
      <c r="K35" s="7">
        <v>43272</v>
      </c>
      <c r="L35" s="8" t="str">
        <f>"000082"</f>
        <v>000082</v>
      </c>
      <c r="M35" s="7">
        <v>43272</v>
      </c>
      <c r="N35" s="8">
        <v>17</v>
      </c>
      <c r="O35" s="8" t="str">
        <f>"005100"</f>
        <v>005100</v>
      </c>
      <c r="P35" s="7">
        <v>43325</v>
      </c>
      <c r="Q35" s="10">
        <v>6.3035399999999999</v>
      </c>
      <c r="R35" s="10">
        <v>0.18190000000000001</v>
      </c>
      <c r="S35" s="10">
        <v>6.1216400000000002</v>
      </c>
      <c r="T35" s="8">
        <v>78</v>
      </c>
      <c r="U35" s="7">
        <v>43628</v>
      </c>
      <c r="V35" s="8">
        <v>123456789</v>
      </c>
      <c r="W35" s="9" t="s">
        <v>70</v>
      </c>
      <c r="X35" s="8" t="s">
        <v>43</v>
      </c>
      <c r="Y35" s="9" t="s">
        <v>44</v>
      </c>
      <c r="Z35" s="8" t="s">
        <v>54</v>
      </c>
      <c r="AA35" s="9" t="s">
        <v>55</v>
      </c>
      <c r="AB35" s="10">
        <v>6.3035400000000005E-2</v>
      </c>
    </row>
    <row r="36" spans="1:28" s="4" customFormat="1" ht="13" x14ac:dyDescent="0.3">
      <c r="A36" s="5">
        <v>971</v>
      </c>
      <c r="B36" s="6" t="s">
        <v>144</v>
      </c>
      <c r="C36" s="7">
        <v>43647</v>
      </c>
      <c r="D36" s="8">
        <v>27</v>
      </c>
      <c r="E36" s="9" t="s">
        <v>50</v>
      </c>
      <c r="F36" s="8" t="s">
        <v>145</v>
      </c>
      <c r="G36" s="11" t="s">
        <v>146</v>
      </c>
      <c r="H36" s="8" t="str">
        <f>"000100"</f>
        <v>000100</v>
      </c>
      <c r="I36" s="7">
        <v>42993</v>
      </c>
      <c r="J36" s="8" t="str">
        <f>"000065"</f>
        <v>000065</v>
      </c>
      <c r="K36" s="7">
        <v>43118</v>
      </c>
      <c r="L36" s="8" t="str">
        <f>"000309"</f>
        <v>000309</v>
      </c>
      <c r="M36" s="7">
        <v>43118</v>
      </c>
      <c r="N36" s="8">
        <v>17</v>
      </c>
      <c r="O36" s="8" t="str">
        <f>"003081"</f>
        <v>003081</v>
      </c>
      <c r="P36" s="7">
        <v>43640</v>
      </c>
      <c r="Q36" s="12">
        <v>19.726870000000002</v>
      </c>
      <c r="R36" s="12">
        <v>1.0423</v>
      </c>
      <c r="S36" s="12">
        <v>18.684570000000001</v>
      </c>
      <c r="T36" s="8">
        <v>96</v>
      </c>
      <c r="U36" s="7">
        <v>43647</v>
      </c>
      <c r="V36" s="8">
        <v>123456789</v>
      </c>
      <c r="W36" s="11" t="s">
        <v>147</v>
      </c>
      <c r="X36" s="8" t="s">
        <v>40</v>
      </c>
      <c r="Y36" s="11" t="s">
        <v>39</v>
      </c>
      <c r="Z36" s="8" t="s">
        <v>54</v>
      </c>
      <c r="AA36" s="11" t="s">
        <v>55</v>
      </c>
      <c r="AB36" s="12">
        <f t="shared" ref="AB36:AB48" si="1">Q36/100</f>
        <v>0.19726870000000002</v>
      </c>
    </row>
    <row r="37" spans="1:28" s="4" customFormat="1" ht="13" x14ac:dyDescent="0.3">
      <c r="A37" s="5">
        <v>972</v>
      </c>
      <c r="B37" s="6" t="s">
        <v>144</v>
      </c>
      <c r="C37" s="7">
        <v>43647</v>
      </c>
      <c r="D37" s="8">
        <v>27</v>
      </c>
      <c r="E37" s="9" t="s">
        <v>50</v>
      </c>
      <c r="F37" s="8" t="s">
        <v>148</v>
      </c>
      <c r="G37" s="11" t="s">
        <v>149</v>
      </c>
      <c r="H37" s="8" t="str">
        <f>"000101"</f>
        <v>000101</v>
      </c>
      <c r="I37" s="7">
        <v>42993</v>
      </c>
      <c r="J37" s="8" t="str">
        <f>"000066"</f>
        <v>000066</v>
      </c>
      <c r="K37" s="7">
        <v>43118</v>
      </c>
      <c r="L37" s="8" t="str">
        <f>"000310"</f>
        <v>000310</v>
      </c>
      <c r="M37" s="7">
        <v>43118</v>
      </c>
      <c r="N37" s="8">
        <v>17</v>
      </c>
      <c r="O37" s="8" t="str">
        <f>"003083"</f>
        <v>003083</v>
      </c>
      <c r="P37" s="7">
        <v>43640</v>
      </c>
      <c r="Q37" s="12">
        <v>19.803750000000001</v>
      </c>
      <c r="R37" s="12">
        <v>1.0672999999999999</v>
      </c>
      <c r="S37" s="12">
        <v>18.736450000000001</v>
      </c>
      <c r="T37" s="8">
        <v>96</v>
      </c>
      <c r="U37" s="7">
        <v>43647</v>
      </c>
      <c r="V37" s="8">
        <v>123456789</v>
      </c>
      <c r="W37" s="11" t="s">
        <v>150</v>
      </c>
      <c r="X37" s="8" t="s">
        <v>40</v>
      </c>
      <c r="Y37" s="11" t="s">
        <v>39</v>
      </c>
      <c r="Z37" s="8" t="s">
        <v>54</v>
      </c>
      <c r="AA37" s="11" t="s">
        <v>55</v>
      </c>
      <c r="AB37" s="12">
        <f t="shared" si="1"/>
        <v>0.19803750000000001</v>
      </c>
    </row>
    <row r="38" spans="1:28" s="4" customFormat="1" ht="13" x14ac:dyDescent="0.3">
      <c r="A38" s="5">
        <v>973</v>
      </c>
      <c r="B38" s="6" t="s">
        <v>144</v>
      </c>
      <c r="C38" s="7">
        <v>43647</v>
      </c>
      <c r="D38" s="8">
        <v>27</v>
      </c>
      <c r="E38" s="9" t="s">
        <v>50</v>
      </c>
      <c r="F38" s="8" t="s">
        <v>151</v>
      </c>
      <c r="G38" s="11" t="s">
        <v>152</v>
      </c>
      <c r="H38" s="8" t="str">
        <f>"000095"</f>
        <v>000095</v>
      </c>
      <c r="I38" s="7">
        <v>42993</v>
      </c>
      <c r="J38" s="8" t="str">
        <f>"000080"</f>
        <v>000080</v>
      </c>
      <c r="K38" s="7">
        <v>43121</v>
      </c>
      <c r="L38" s="8" t="str">
        <f>"000326"</f>
        <v>000326</v>
      </c>
      <c r="M38" s="7">
        <v>43121</v>
      </c>
      <c r="N38" s="8">
        <v>16</v>
      </c>
      <c r="O38" s="8" t="str">
        <f>"003143"</f>
        <v>003143</v>
      </c>
      <c r="P38" s="7">
        <v>43643</v>
      </c>
      <c r="Q38" s="12">
        <v>19.727779999999999</v>
      </c>
      <c r="R38" s="12">
        <v>1.1352</v>
      </c>
      <c r="S38" s="12">
        <v>18.592580000000002</v>
      </c>
      <c r="T38" s="8">
        <v>96</v>
      </c>
      <c r="U38" s="7">
        <v>43647</v>
      </c>
      <c r="V38" s="8">
        <v>9449830883</v>
      </c>
      <c r="W38" s="11" t="s">
        <v>83</v>
      </c>
      <c r="X38" s="8" t="s">
        <v>34</v>
      </c>
      <c r="Y38" s="11" t="s">
        <v>35</v>
      </c>
      <c r="Z38" s="8" t="s">
        <v>54</v>
      </c>
      <c r="AA38" s="11" t="s">
        <v>55</v>
      </c>
      <c r="AB38" s="12">
        <f t="shared" si="1"/>
        <v>0.1972778</v>
      </c>
    </row>
    <row r="39" spans="1:28" s="4" customFormat="1" ht="13" x14ac:dyDescent="0.3">
      <c r="A39" s="5">
        <v>974</v>
      </c>
      <c r="B39" s="6" t="s">
        <v>144</v>
      </c>
      <c r="C39" s="7">
        <v>43647</v>
      </c>
      <c r="D39" s="8">
        <v>27</v>
      </c>
      <c r="E39" s="9" t="s">
        <v>50</v>
      </c>
      <c r="F39" s="8" t="s">
        <v>153</v>
      </c>
      <c r="G39" s="11" t="s">
        <v>154</v>
      </c>
      <c r="H39" s="8" t="str">
        <f>"000092"</f>
        <v>000092</v>
      </c>
      <c r="I39" s="7">
        <v>42992</v>
      </c>
      <c r="J39" s="8" t="str">
        <f>"000093"</f>
        <v>000093</v>
      </c>
      <c r="K39" s="7">
        <v>43130</v>
      </c>
      <c r="L39" s="8" t="str">
        <f>"000341"</f>
        <v>000341</v>
      </c>
      <c r="M39" s="7">
        <v>43130</v>
      </c>
      <c r="N39" s="8">
        <v>17</v>
      </c>
      <c r="O39" s="8" t="str">
        <f>"003157"</f>
        <v>003157</v>
      </c>
      <c r="P39" s="7">
        <v>43643</v>
      </c>
      <c r="Q39" s="12">
        <v>19.971019999999999</v>
      </c>
      <c r="R39" s="12">
        <v>1.0714999999999999</v>
      </c>
      <c r="S39" s="12">
        <v>18.899519999999999</v>
      </c>
      <c r="T39" s="8">
        <v>96</v>
      </c>
      <c r="U39" s="7">
        <v>43647</v>
      </c>
      <c r="V39" s="8">
        <v>9448718404</v>
      </c>
      <c r="W39" s="11" t="s">
        <v>155</v>
      </c>
      <c r="X39" s="8" t="s">
        <v>40</v>
      </c>
      <c r="Y39" s="11" t="s">
        <v>39</v>
      </c>
      <c r="Z39" s="8" t="s">
        <v>54</v>
      </c>
      <c r="AA39" s="11" t="s">
        <v>55</v>
      </c>
      <c r="AB39" s="12">
        <f t="shared" si="1"/>
        <v>0.1997102</v>
      </c>
    </row>
    <row r="40" spans="1:28" s="4" customFormat="1" ht="13" x14ac:dyDescent="0.3">
      <c r="A40" s="5">
        <v>975</v>
      </c>
      <c r="B40" s="6" t="s">
        <v>144</v>
      </c>
      <c r="C40" s="7">
        <v>43647</v>
      </c>
      <c r="D40" s="8">
        <v>27</v>
      </c>
      <c r="E40" s="9" t="s">
        <v>50</v>
      </c>
      <c r="F40" s="8" t="s">
        <v>156</v>
      </c>
      <c r="G40" s="11" t="s">
        <v>157</v>
      </c>
      <c r="H40" s="8" t="str">
        <f>"000091"</f>
        <v>000091</v>
      </c>
      <c r="I40" s="7">
        <v>42992</v>
      </c>
      <c r="J40" s="8" t="str">
        <f>"000094"</f>
        <v>000094</v>
      </c>
      <c r="K40" s="7">
        <v>43130</v>
      </c>
      <c r="L40" s="8" t="str">
        <f>"000342"</f>
        <v>000342</v>
      </c>
      <c r="M40" s="7">
        <v>43130</v>
      </c>
      <c r="N40" s="8">
        <v>17</v>
      </c>
      <c r="O40" s="8" t="str">
        <f>"003158"</f>
        <v>003158</v>
      </c>
      <c r="P40" s="7">
        <v>43643</v>
      </c>
      <c r="Q40" s="12">
        <v>19.876349999999999</v>
      </c>
      <c r="R40" s="12">
        <v>1.0475000000000001</v>
      </c>
      <c r="S40" s="12">
        <v>18.828849999999999</v>
      </c>
      <c r="T40" s="8">
        <v>96</v>
      </c>
      <c r="U40" s="7">
        <v>43647</v>
      </c>
      <c r="V40" s="8">
        <v>9686798777</v>
      </c>
      <c r="W40" s="11" t="s">
        <v>155</v>
      </c>
      <c r="X40" s="8" t="s">
        <v>40</v>
      </c>
      <c r="Y40" s="11" t="s">
        <v>39</v>
      </c>
      <c r="Z40" s="8" t="s">
        <v>54</v>
      </c>
      <c r="AA40" s="11" t="s">
        <v>55</v>
      </c>
      <c r="AB40" s="12">
        <f t="shared" si="1"/>
        <v>0.19876349999999998</v>
      </c>
    </row>
    <row r="41" spans="1:28" s="4" customFormat="1" ht="13" x14ac:dyDescent="0.3">
      <c r="A41" s="5">
        <v>976</v>
      </c>
      <c r="B41" s="6" t="s">
        <v>144</v>
      </c>
      <c r="C41" s="7">
        <v>43663</v>
      </c>
      <c r="D41" s="8">
        <v>27</v>
      </c>
      <c r="E41" s="9" t="s">
        <v>50</v>
      </c>
      <c r="F41" s="8" t="s">
        <v>158</v>
      </c>
      <c r="G41" s="11" t="s">
        <v>159</v>
      </c>
      <c r="H41" s="8" t="str">
        <f>"000010"</f>
        <v>000010</v>
      </c>
      <c r="I41" s="7">
        <v>43099</v>
      </c>
      <c r="J41" s="8" t="str">
        <f>"000017"</f>
        <v>000017</v>
      </c>
      <c r="K41" s="7">
        <v>43176</v>
      </c>
      <c r="L41" s="8" t="str">
        <f>"000020"</f>
        <v>000020</v>
      </c>
      <c r="M41" s="7">
        <v>43179</v>
      </c>
      <c r="N41" s="8">
        <v>17</v>
      </c>
      <c r="O41" s="8" t="str">
        <f>"003424"</f>
        <v>003424</v>
      </c>
      <c r="P41" s="7">
        <v>43662</v>
      </c>
      <c r="Q41" s="12">
        <v>47.4178</v>
      </c>
      <c r="R41" s="12">
        <v>4.7851999999999997</v>
      </c>
      <c r="S41" s="12">
        <v>42.632599999999996</v>
      </c>
      <c r="T41" s="8">
        <v>113</v>
      </c>
      <c r="U41" s="7">
        <v>43663</v>
      </c>
      <c r="V41" s="8">
        <v>9448065010</v>
      </c>
      <c r="W41" s="11" t="s">
        <v>160</v>
      </c>
      <c r="X41" s="8" t="s">
        <v>161</v>
      </c>
      <c r="Y41" s="11" t="s">
        <v>162</v>
      </c>
      <c r="Z41" s="8" t="s">
        <v>163</v>
      </c>
      <c r="AA41" s="11" t="s">
        <v>164</v>
      </c>
      <c r="AB41" s="12">
        <f t="shared" si="1"/>
        <v>0.47417799999999999</v>
      </c>
    </row>
    <row r="42" spans="1:28" s="4" customFormat="1" ht="13" x14ac:dyDescent="0.3">
      <c r="A42" s="5">
        <v>977</v>
      </c>
      <c r="B42" s="6" t="s">
        <v>144</v>
      </c>
      <c r="C42" s="7">
        <v>43663</v>
      </c>
      <c r="D42" s="8">
        <v>27</v>
      </c>
      <c r="E42" s="9" t="s">
        <v>50</v>
      </c>
      <c r="F42" s="8" t="s">
        <v>56</v>
      </c>
      <c r="G42" s="11" t="s">
        <v>57</v>
      </c>
      <c r="H42" s="8" t="str">
        <f>"000128"</f>
        <v>000128</v>
      </c>
      <c r="I42" s="7">
        <v>43152</v>
      </c>
      <c r="J42" s="8" t="str">
        <f>"000124"</f>
        <v>000124</v>
      </c>
      <c r="K42" s="7">
        <v>43776</v>
      </c>
      <c r="L42" s="8" t="str">
        <f>"000124"</f>
        <v>000124</v>
      </c>
      <c r="M42" s="7">
        <v>43776</v>
      </c>
      <c r="N42" s="8">
        <v>16</v>
      </c>
      <c r="O42" s="8" t="str">
        <f>"006350"</f>
        <v>006350</v>
      </c>
      <c r="P42" s="7">
        <v>43791</v>
      </c>
      <c r="Q42" s="12">
        <v>8.7248099999999997</v>
      </c>
      <c r="R42" s="12">
        <v>1.1355299999999999</v>
      </c>
      <c r="S42" s="12">
        <v>7.5892799999999996</v>
      </c>
      <c r="T42" s="8">
        <v>114</v>
      </c>
      <c r="U42" s="7">
        <v>43663</v>
      </c>
      <c r="V42" s="8">
        <v>9845036857</v>
      </c>
      <c r="W42" s="11" t="s">
        <v>58</v>
      </c>
      <c r="X42" s="8" t="s">
        <v>29</v>
      </c>
      <c r="Y42" s="11" t="s">
        <v>30</v>
      </c>
      <c r="Z42" s="8" t="s">
        <v>47</v>
      </c>
      <c r="AA42" s="11" t="s">
        <v>48</v>
      </c>
      <c r="AB42" s="12">
        <f t="shared" si="1"/>
        <v>8.7248099999999995E-2</v>
      </c>
    </row>
    <row r="43" spans="1:28" s="4" customFormat="1" ht="13" x14ac:dyDescent="0.3">
      <c r="A43" s="5">
        <v>978</v>
      </c>
      <c r="B43" s="6" t="s">
        <v>144</v>
      </c>
      <c r="C43" s="7">
        <v>43669</v>
      </c>
      <c r="D43" s="8">
        <v>27</v>
      </c>
      <c r="E43" s="9" t="s">
        <v>50</v>
      </c>
      <c r="F43" s="8" t="s">
        <v>165</v>
      </c>
      <c r="G43" s="11" t="s">
        <v>166</v>
      </c>
      <c r="H43" s="8" t="str">
        <f>"000027"</f>
        <v>000027</v>
      </c>
      <c r="I43" s="7">
        <v>42892</v>
      </c>
      <c r="J43" s="8" t="str">
        <f>"000096"</f>
        <v>000096</v>
      </c>
      <c r="K43" s="7">
        <v>43132</v>
      </c>
      <c r="L43" s="8" t="str">
        <f>"000348"</f>
        <v>000348</v>
      </c>
      <c r="M43" s="7">
        <v>43132</v>
      </c>
      <c r="N43" s="8">
        <v>17</v>
      </c>
      <c r="O43" s="8" t="str">
        <f>"003490"</f>
        <v>003490</v>
      </c>
      <c r="P43" s="7">
        <v>43663</v>
      </c>
      <c r="Q43" s="12">
        <v>21.443110000000001</v>
      </c>
      <c r="R43" s="12">
        <v>1.1915</v>
      </c>
      <c r="S43" s="12">
        <v>20.251609999999999</v>
      </c>
      <c r="T43" s="8">
        <v>122</v>
      </c>
      <c r="U43" s="7">
        <v>43669</v>
      </c>
      <c r="V43" s="8">
        <v>9449830883</v>
      </c>
      <c r="W43" s="11" t="s">
        <v>83</v>
      </c>
      <c r="X43" s="8" t="s">
        <v>45</v>
      </c>
      <c r="Y43" s="11" t="s">
        <v>46</v>
      </c>
      <c r="Z43" s="8" t="s">
        <v>54</v>
      </c>
      <c r="AA43" s="11" t="s">
        <v>55</v>
      </c>
      <c r="AB43" s="12">
        <f t="shared" si="1"/>
        <v>0.21443110000000001</v>
      </c>
    </row>
    <row r="44" spans="1:28" s="4" customFormat="1" ht="13" x14ac:dyDescent="0.3">
      <c r="A44" s="5">
        <v>979</v>
      </c>
      <c r="B44" s="6" t="s">
        <v>144</v>
      </c>
      <c r="C44" s="7">
        <v>43669</v>
      </c>
      <c r="D44" s="8">
        <v>27</v>
      </c>
      <c r="E44" s="9" t="s">
        <v>50</v>
      </c>
      <c r="F44" s="8" t="s">
        <v>167</v>
      </c>
      <c r="G44" s="11" t="s">
        <v>168</v>
      </c>
      <c r="H44" s="8" t="str">
        <f>"000094"</f>
        <v>000094</v>
      </c>
      <c r="I44" s="7">
        <v>42992</v>
      </c>
      <c r="J44" s="8" t="str">
        <f>"000097"</f>
        <v>000097</v>
      </c>
      <c r="K44" s="7">
        <v>43133</v>
      </c>
      <c r="L44" s="8" t="str">
        <f>"000349"</f>
        <v>000349</v>
      </c>
      <c r="M44" s="7">
        <v>43133</v>
      </c>
      <c r="N44" s="8">
        <v>17</v>
      </c>
      <c r="O44" s="8" t="str">
        <f>"003492"</f>
        <v>003492</v>
      </c>
      <c r="P44" s="7">
        <v>43663</v>
      </c>
      <c r="Q44" s="12">
        <v>9.6419499999999996</v>
      </c>
      <c r="R44" s="12">
        <v>0.51849999999999996</v>
      </c>
      <c r="S44" s="12">
        <v>9.1234500000000001</v>
      </c>
      <c r="T44" s="8">
        <v>122</v>
      </c>
      <c r="U44" s="7">
        <v>43669</v>
      </c>
      <c r="V44" s="8">
        <v>123456789</v>
      </c>
      <c r="W44" s="11" t="s">
        <v>169</v>
      </c>
      <c r="X44" s="8" t="s">
        <v>40</v>
      </c>
      <c r="Y44" s="11" t="s">
        <v>39</v>
      </c>
      <c r="Z44" s="8" t="s">
        <v>54</v>
      </c>
      <c r="AA44" s="11" t="s">
        <v>55</v>
      </c>
      <c r="AB44" s="12">
        <f t="shared" si="1"/>
        <v>9.6419499999999991E-2</v>
      </c>
    </row>
    <row r="45" spans="1:28" s="4" customFormat="1" ht="13" x14ac:dyDescent="0.3">
      <c r="A45" s="5">
        <v>980</v>
      </c>
      <c r="B45" s="6" t="s">
        <v>170</v>
      </c>
      <c r="C45" s="7">
        <v>43719</v>
      </c>
      <c r="D45" s="8">
        <v>27</v>
      </c>
      <c r="E45" s="9" t="s">
        <v>50</v>
      </c>
      <c r="F45" s="8" t="s">
        <v>171</v>
      </c>
      <c r="G45" s="11" t="s">
        <v>172</v>
      </c>
      <c r="H45" s="8" t="str">
        <f>"000346"</f>
        <v>000346</v>
      </c>
      <c r="I45" s="7">
        <v>43500</v>
      </c>
      <c r="J45" s="8" t="str">
        <f>"000180"</f>
        <v>000180</v>
      </c>
      <c r="K45" s="7">
        <v>43500</v>
      </c>
      <c r="L45" s="8" t="str">
        <f>"000336"</f>
        <v>000336</v>
      </c>
      <c r="M45" s="7">
        <v>43500</v>
      </c>
      <c r="N45" s="8">
        <v>18</v>
      </c>
      <c r="O45" s="8" t="str">
        <f>"004961"</f>
        <v>004961</v>
      </c>
      <c r="P45" s="7">
        <v>43717</v>
      </c>
      <c r="Q45" s="12">
        <v>19.98366</v>
      </c>
      <c r="R45" s="12">
        <v>2.2410100000000002</v>
      </c>
      <c r="S45" s="12">
        <v>17.742650000000001</v>
      </c>
      <c r="T45" s="8">
        <v>182</v>
      </c>
      <c r="U45" s="7">
        <v>43719</v>
      </c>
      <c r="V45" s="8">
        <v>123456789</v>
      </c>
      <c r="W45" s="11" t="s">
        <v>173</v>
      </c>
      <c r="X45" s="8" t="s">
        <v>41</v>
      </c>
      <c r="Y45" s="11" t="s">
        <v>42</v>
      </c>
      <c r="Z45" s="8" t="s">
        <v>54</v>
      </c>
      <c r="AA45" s="11" t="s">
        <v>55</v>
      </c>
      <c r="AB45" s="12">
        <f t="shared" si="1"/>
        <v>0.1998366</v>
      </c>
    </row>
    <row r="46" spans="1:28" s="4" customFormat="1" ht="13" x14ac:dyDescent="0.3">
      <c r="A46" s="5">
        <v>981</v>
      </c>
      <c r="B46" s="6" t="s">
        <v>170</v>
      </c>
      <c r="C46" s="7">
        <v>43721</v>
      </c>
      <c r="D46" s="8">
        <v>27</v>
      </c>
      <c r="E46" s="9" t="s">
        <v>50</v>
      </c>
      <c r="F46" s="8" t="s">
        <v>73</v>
      </c>
      <c r="G46" s="11" t="s">
        <v>74</v>
      </c>
      <c r="H46" s="8" t="str">
        <f>"000016"</f>
        <v>000016</v>
      </c>
      <c r="I46" s="7">
        <v>43466</v>
      </c>
      <c r="J46" s="8" t="str">
        <f>"000011"</f>
        <v>000011</v>
      </c>
      <c r="K46" s="7">
        <v>43707</v>
      </c>
      <c r="L46" s="8" t="str">
        <f>"000011"</f>
        <v>000011</v>
      </c>
      <c r="M46" s="7">
        <v>43710</v>
      </c>
      <c r="N46" s="8">
        <v>18</v>
      </c>
      <c r="O46" s="8" t="str">
        <f>"005109"</f>
        <v>005109</v>
      </c>
      <c r="P46" s="7">
        <v>43720</v>
      </c>
      <c r="Q46" s="12">
        <v>65.623080000000002</v>
      </c>
      <c r="R46" s="12">
        <v>6.9512600000000004</v>
      </c>
      <c r="S46" s="12">
        <v>58.671819999999997</v>
      </c>
      <c r="T46" s="8">
        <v>185</v>
      </c>
      <c r="U46" s="7">
        <v>43721</v>
      </c>
      <c r="V46" s="8">
        <v>9900980808</v>
      </c>
      <c r="W46" s="11" t="s">
        <v>174</v>
      </c>
      <c r="X46" s="8" t="s">
        <v>31</v>
      </c>
      <c r="Y46" s="11" t="s">
        <v>32</v>
      </c>
      <c r="Z46" s="8" t="s">
        <v>76</v>
      </c>
      <c r="AA46" s="11" t="s">
        <v>77</v>
      </c>
      <c r="AB46" s="12">
        <f t="shared" si="1"/>
        <v>0.6562308</v>
      </c>
    </row>
    <row r="47" spans="1:28" s="4" customFormat="1" ht="13" x14ac:dyDescent="0.3">
      <c r="A47" s="5">
        <v>982</v>
      </c>
      <c r="B47" s="6" t="s">
        <v>170</v>
      </c>
      <c r="C47" s="7">
        <v>43726</v>
      </c>
      <c r="D47" s="8">
        <v>27</v>
      </c>
      <c r="E47" s="9" t="s">
        <v>50</v>
      </c>
      <c r="F47" s="8" t="s">
        <v>175</v>
      </c>
      <c r="G47" s="11" t="s">
        <v>176</v>
      </c>
      <c r="H47" s="8" t="str">
        <f>"000416"</f>
        <v>000416</v>
      </c>
      <c r="I47" s="7">
        <v>43533</v>
      </c>
      <c r="J47" s="8" t="str">
        <f>"000039"</f>
        <v>000039</v>
      </c>
      <c r="K47" s="7">
        <v>43654</v>
      </c>
      <c r="L47" s="8" t="str">
        <f>"000075"</f>
        <v>000075</v>
      </c>
      <c r="M47" s="7">
        <v>43663</v>
      </c>
      <c r="N47" s="8">
        <v>17</v>
      </c>
      <c r="O47" s="8" t="str">
        <f>"005092"</f>
        <v>005092</v>
      </c>
      <c r="P47" s="7">
        <v>43720</v>
      </c>
      <c r="Q47" s="12">
        <v>1.2306999999999999</v>
      </c>
      <c r="R47" s="12">
        <v>5.0520000000000002E-2</v>
      </c>
      <c r="S47" s="12">
        <v>1.18018</v>
      </c>
      <c r="T47" s="8">
        <v>191</v>
      </c>
      <c r="U47" s="7">
        <v>43726</v>
      </c>
      <c r="V47" s="8">
        <v>123456789</v>
      </c>
      <c r="W47" s="11" t="s">
        <v>177</v>
      </c>
      <c r="X47" s="8" t="s">
        <v>43</v>
      </c>
      <c r="Y47" s="11" t="s">
        <v>44</v>
      </c>
      <c r="Z47" s="8" t="s">
        <v>54</v>
      </c>
      <c r="AA47" s="11" t="s">
        <v>55</v>
      </c>
      <c r="AB47" s="12">
        <f t="shared" si="1"/>
        <v>1.2306999999999998E-2</v>
      </c>
    </row>
    <row r="48" spans="1:28" s="4" customFormat="1" ht="13" x14ac:dyDescent="0.3">
      <c r="A48" s="5">
        <v>983</v>
      </c>
      <c r="B48" s="6" t="s">
        <v>170</v>
      </c>
      <c r="C48" s="7">
        <v>43732</v>
      </c>
      <c r="D48" s="8">
        <v>27</v>
      </c>
      <c r="E48" s="9" t="s">
        <v>50</v>
      </c>
      <c r="F48" s="8" t="s">
        <v>178</v>
      </c>
      <c r="G48" s="11" t="s">
        <v>179</v>
      </c>
      <c r="H48" s="8" t="str">
        <f>"000090"</f>
        <v>000090</v>
      </c>
      <c r="I48" s="7">
        <v>42992</v>
      </c>
      <c r="J48" s="8" t="str">
        <f>"000006"</f>
        <v>000006</v>
      </c>
      <c r="K48" s="7">
        <v>43213</v>
      </c>
      <c r="L48" s="8" t="str">
        <f>"000011"</f>
        <v>000011</v>
      </c>
      <c r="M48" s="7">
        <v>43213</v>
      </c>
      <c r="N48" s="8">
        <v>17</v>
      </c>
      <c r="O48" s="8" t="str">
        <f>"005337"</f>
        <v>005337</v>
      </c>
      <c r="P48" s="7">
        <v>43729</v>
      </c>
      <c r="Q48" s="12">
        <v>9.8012499999999996</v>
      </c>
      <c r="R48" s="12">
        <v>0.54310000000000003</v>
      </c>
      <c r="S48" s="12">
        <v>9.2581500000000005</v>
      </c>
      <c r="T48" s="8">
        <v>199</v>
      </c>
      <c r="U48" s="7">
        <v>43732</v>
      </c>
      <c r="V48" s="8">
        <v>123456789</v>
      </c>
      <c r="W48" s="11" t="s">
        <v>180</v>
      </c>
      <c r="X48" s="8" t="s">
        <v>40</v>
      </c>
      <c r="Y48" s="11" t="s">
        <v>39</v>
      </c>
      <c r="Z48" s="8" t="s">
        <v>54</v>
      </c>
      <c r="AA48" s="11" t="s">
        <v>55</v>
      </c>
      <c r="AB48" s="12">
        <f t="shared" si="1"/>
        <v>9.8012500000000002E-2</v>
      </c>
    </row>
    <row r="49" spans="1:28" s="4" customFormat="1" ht="13" x14ac:dyDescent="0.3">
      <c r="A49" s="5">
        <v>984</v>
      </c>
      <c r="B49" s="6" t="s">
        <v>181</v>
      </c>
      <c r="C49" s="7">
        <v>43763</v>
      </c>
      <c r="D49" s="5">
        <v>27</v>
      </c>
      <c r="E49" s="9" t="s">
        <v>50</v>
      </c>
      <c r="F49" s="8" t="s">
        <v>56</v>
      </c>
      <c r="G49" s="9" t="s">
        <v>57</v>
      </c>
      <c r="H49" s="8" t="str">
        <f>"000128"</f>
        <v>000128</v>
      </c>
      <c r="I49" s="7">
        <v>43152</v>
      </c>
      <c r="J49" s="8" t="str">
        <f>"000124"</f>
        <v>000124</v>
      </c>
      <c r="K49" s="7">
        <v>43776</v>
      </c>
      <c r="L49" s="8" t="str">
        <f>"000124"</f>
        <v>000124</v>
      </c>
      <c r="M49" s="7">
        <v>43776</v>
      </c>
      <c r="N49" s="8">
        <v>16</v>
      </c>
      <c r="O49" s="8" t="str">
        <f>"006350"</f>
        <v>006350</v>
      </c>
      <c r="P49" s="7">
        <v>43791</v>
      </c>
      <c r="Q49" s="10">
        <v>6.5435999999999996</v>
      </c>
      <c r="R49" s="10">
        <v>0.85623000000000005</v>
      </c>
      <c r="S49" s="10">
        <v>5.6873699999999996</v>
      </c>
      <c r="T49" s="8">
        <v>13</v>
      </c>
      <c r="U49" s="7">
        <v>43763</v>
      </c>
      <c r="V49" s="8">
        <v>9845036857</v>
      </c>
      <c r="W49" s="9" t="s">
        <v>58</v>
      </c>
      <c r="X49" s="8" t="s">
        <v>29</v>
      </c>
      <c r="Y49" s="9" t="s">
        <v>30</v>
      </c>
      <c r="Z49" s="8" t="s">
        <v>47</v>
      </c>
      <c r="AA49" s="9" t="s">
        <v>48</v>
      </c>
      <c r="AB49" s="10">
        <v>6.5435999999999994E-2</v>
      </c>
    </row>
    <row r="50" spans="1:28" s="4" customFormat="1" ht="13" x14ac:dyDescent="0.3">
      <c r="A50" s="5">
        <v>985</v>
      </c>
      <c r="B50" s="6" t="s">
        <v>181</v>
      </c>
      <c r="C50" s="7">
        <v>43768</v>
      </c>
      <c r="D50" s="5">
        <v>27</v>
      </c>
      <c r="E50" s="9" t="s">
        <v>50</v>
      </c>
      <c r="F50" s="8" t="s">
        <v>182</v>
      </c>
      <c r="G50" s="9" t="s">
        <v>183</v>
      </c>
      <c r="H50" s="8" t="str">
        <f>"000045"</f>
        <v>000045</v>
      </c>
      <c r="I50" s="7">
        <v>43748</v>
      </c>
      <c r="J50" s="8" t="str">
        <f>"000097"</f>
        <v>000097</v>
      </c>
      <c r="K50" s="7">
        <v>43748</v>
      </c>
      <c r="L50" s="8" t="str">
        <f>"000097"</f>
        <v>000097</v>
      </c>
      <c r="M50" s="7">
        <v>43748</v>
      </c>
      <c r="N50" s="8">
        <v>17</v>
      </c>
      <c r="O50" s="8" t="str">
        <f>"005992"</f>
        <v>005992</v>
      </c>
      <c r="P50" s="7">
        <v>43763</v>
      </c>
      <c r="Q50" s="10">
        <v>9.2984600000000004</v>
      </c>
      <c r="R50" s="10">
        <v>0.51034000000000002</v>
      </c>
      <c r="S50" s="10">
        <v>8.7881199999999993</v>
      </c>
      <c r="T50" s="8">
        <v>13</v>
      </c>
      <c r="U50" s="7">
        <v>43768</v>
      </c>
      <c r="V50" s="8">
        <v>9845036857</v>
      </c>
      <c r="W50" s="9" t="s">
        <v>184</v>
      </c>
      <c r="X50" s="8" t="s">
        <v>43</v>
      </c>
      <c r="Y50" s="9" t="s">
        <v>44</v>
      </c>
      <c r="Z50" s="8" t="s">
        <v>47</v>
      </c>
      <c r="AA50" s="9" t="s">
        <v>48</v>
      </c>
      <c r="AB50" s="10">
        <v>9.2984600000000001E-2</v>
      </c>
    </row>
    <row r="51" spans="1:28" s="4" customFormat="1" ht="13" x14ac:dyDescent="0.3">
      <c r="A51" s="5">
        <v>986</v>
      </c>
      <c r="B51" s="6" t="s">
        <v>185</v>
      </c>
      <c r="C51" s="7">
        <v>43795</v>
      </c>
      <c r="D51" s="5">
        <v>27</v>
      </c>
      <c r="E51" s="9" t="s">
        <v>50</v>
      </c>
      <c r="F51" s="8" t="s">
        <v>56</v>
      </c>
      <c r="G51" s="9" t="s">
        <v>57</v>
      </c>
      <c r="H51" s="8" t="str">
        <f>"000128"</f>
        <v>000128</v>
      </c>
      <c r="I51" s="7">
        <v>43152</v>
      </c>
      <c r="J51" s="8" t="str">
        <f>"000124"</f>
        <v>000124</v>
      </c>
      <c r="K51" s="7">
        <v>43776</v>
      </c>
      <c r="L51" s="8" t="str">
        <f>"000124"</f>
        <v>000124</v>
      </c>
      <c r="M51" s="7">
        <v>43776</v>
      </c>
      <c r="N51" s="8">
        <v>16</v>
      </c>
      <c r="O51" s="8" t="str">
        <f>"006350"</f>
        <v>006350</v>
      </c>
      <c r="P51" s="7">
        <v>43791</v>
      </c>
      <c r="Q51" s="10">
        <v>6.5435999999999996</v>
      </c>
      <c r="R51" s="10">
        <v>0.85353999999999997</v>
      </c>
      <c r="S51" s="10">
        <v>5.6900599999999999</v>
      </c>
      <c r="T51" s="8">
        <v>13</v>
      </c>
      <c r="U51" s="7">
        <v>43795</v>
      </c>
      <c r="V51" s="8">
        <v>9845036857</v>
      </c>
      <c r="W51" s="9" t="s">
        <v>58</v>
      </c>
      <c r="X51" s="8" t="s">
        <v>29</v>
      </c>
      <c r="Y51" s="9" t="s">
        <v>30</v>
      </c>
      <c r="Z51" s="8" t="s">
        <v>47</v>
      </c>
      <c r="AA51" s="9" t="s">
        <v>48</v>
      </c>
      <c r="AB51" s="10">
        <v>6.5435999999999994E-2</v>
      </c>
    </row>
    <row r="52" spans="1:28" s="4" customFormat="1" ht="13" x14ac:dyDescent="0.3">
      <c r="A52" s="5">
        <v>987</v>
      </c>
      <c r="B52" s="6" t="s">
        <v>186</v>
      </c>
      <c r="C52" s="7">
        <v>43805</v>
      </c>
      <c r="D52" s="5">
        <v>27</v>
      </c>
      <c r="E52" s="9" t="s">
        <v>50</v>
      </c>
      <c r="F52" s="8" t="s">
        <v>51</v>
      </c>
      <c r="G52" s="9" t="s">
        <v>52</v>
      </c>
      <c r="H52" s="8" t="str">
        <f>"000144"</f>
        <v>000144</v>
      </c>
      <c r="I52" s="7">
        <v>43382</v>
      </c>
      <c r="J52" s="8" t="str">
        <f>"000057"</f>
        <v>000057</v>
      </c>
      <c r="K52" s="7">
        <v>43681</v>
      </c>
      <c r="L52" s="8" t="str">
        <f>"000091"</f>
        <v>000091</v>
      </c>
      <c r="M52" s="7">
        <v>43682</v>
      </c>
      <c r="N52" s="8">
        <v>18</v>
      </c>
      <c r="O52" s="8" t="str">
        <f>"006482"</f>
        <v>006482</v>
      </c>
      <c r="P52" s="7">
        <v>43797</v>
      </c>
      <c r="Q52" s="10">
        <v>4.9868600000000001</v>
      </c>
      <c r="R52" s="10">
        <v>0.19378999999999999</v>
      </c>
      <c r="S52" s="10">
        <v>4.7930700000000002</v>
      </c>
      <c r="T52" s="8">
        <v>13</v>
      </c>
      <c r="U52" s="7">
        <v>43805</v>
      </c>
      <c r="V52" s="8">
        <v>123456789</v>
      </c>
      <c r="W52" s="9" t="s">
        <v>53</v>
      </c>
      <c r="X52" s="8" t="s">
        <v>34</v>
      </c>
      <c r="Y52" s="9" t="s">
        <v>35</v>
      </c>
      <c r="Z52" s="8" t="s">
        <v>54</v>
      </c>
      <c r="AA52" s="9" t="s">
        <v>55</v>
      </c>
      <c r="AB52" s="10">
        <v>4.9868599999999999E-2</v>
      </c>
    </row>
    <row r="53" spans="1:28" s="4" customFormat="1" ht="13" x14ac:dyDescent="0.3">
      <c r="A53" s="5">
        <v>988</v>
      </c>
      <c r="B53" s="6" t="s">
        <v>186</v>
      </c>
      <c r="C53" s="7">
        <v>43818</v>
      </c>
      <c r="D53" s="5">
        <v>27</v>
      </c>
      <c r="E53" s="9" t="s">
        <v>50</v>
      </c>
      <c r="F53" s="8" t="s">
        <v>71</v>
      </c>
      <c r="G53" s="9" t="s">
        <v>72</v>
      </c>
      <c r="H53" s="8" t="str">
        <f>"000397"</f>
        <v>000397</v>
      </c>
      <c r="I53" s="7">
        <v>43529</v>
      </c>
      <c r="J53" s="8" t="str">
        <f>"000078"</f>
        <v>000078</v>
      </c>
      <c r="K53" s="7">
        <v>43706</v>
      </c>
      <c r="L53" s="8" t="str">
        <f>"000114"</f>
        <v>000114</v>
      </c>
      <c r="M53" s="7">
        <v>43706</v>
      </c>
      <c r="N53" s="8">
        <v>19</v>
      </c>
      <c r="O53" s="8" t="str">
        <f>"006625"</f>
        <v>006625</v>
      </c>
      <c r="P53" s="7">
        <v>43803</v>
      </c>
      <c r="Q53" s="10">
        <v>0.27750000000000002</v>
      </c>
      <c r="R53" s="10">
        <v>4.6789999999999998E-2</v>
      </c>
      <c r="S53" s="10">
        <v>0.23071</v>
      </c>
      <c r="T53" s="8">
        <v>13</v>
      </c>
      <c r="U53" s="7">
        <v>43818</v>
      </c>
      <c r="V53" s="8">
        <v>123456789</v>
      </c>
      <c r="W53" s="9" t="s">
        <v>49</v>
      </c>
      <c r="X53" s="8" t="s">
        <v>41</v>
      </c>
      <c r="Y53" s="9" t="s">
        <v>42</v>
      </c>
      <c r="Z53" s="8" t="s">
        <v>54</v>
      </c>
      <c r="AA53" s="9" t="s">
        <v>55</v>
      </c>
      <c r="AB53" s="10">
        <v>2.7750000000000001E-3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2020-01-28T11:40:58Z</dcterms:modified>
</cp:coreProperties>
</file>