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1" i="1" l="1"/>
  <c r="L41" i="1"/>
  <c r="J41" i="1"/>
  <c r="H41" i="1"/>
  <c r="O40" i="1"/>
  <c r="L40" i="1"/>
  <c r="J40" i="1"/>
  <c r="H40" i="1"/>
  <c r="O39" i="1"/>
  <c r="L39" i="1"/>
  <c r="J39" i="1"/>
  <c r="H39" i="1"/>
  <c r="O38" i="1"/>
  <c r="L38" i="1"/>
  <c r="J38" i="1"/>
  <c r="H38" i="1"/>
  <c r="O37" i="1"/>
  <c r="L37" i="1"/>
  <c r="J37" i="1"/>
  <c r="H37" i="1"/>
  <c r="O36" i="1"/>
  <c r="L36" i="1"/>
  <c r="J36" i="1"/>
  <c r="H36"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O12" i="1"/>
  <c r="L12" i="1"/>
  <c r="J12" i="1"/>
  <c r="H12" i="1"/>
  <c r="O11" i="1"/>
  <c r="L11" i="1"/>
  <c r="J11" i="1"/>
  <c r="H11" i="1"/>
  <c r="O10" i="1"/>
  <c r="L10" i="1"/>
  <c r="J10" i="1"/>
  <c r="H10"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<sst xmlns="http://schemas.openxmlformats.org/spreadsheetml/2006/main" count="388" uniqueCount="143">
  <si>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</si>
  <si>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</si>
  <si>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</si>
  <si>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</si>
  <si>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</si>
  <si>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</si>
  <si>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</si>
  <si>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</si>
  <si>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</si>
  <si>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</si>
  <si>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</si>
  <si>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</si>
  <si>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</si>
  <si>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</si>
  <si>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</si>
  <si>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</si>
  <si>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</si>
  <si>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</si>
  <si>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</si>
  <si>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</si>
  <si>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</si>
  <si>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</si>
  <si>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</si>
  <si>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</si>
  <si>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</si>
  <si>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</si>
  <si>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</si>
  <si>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</si>
  <si>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</si>
  <si>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</si>
  <si>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</si>
  <si>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June</t>
  </si>
  <si>
    <t>P1771</t>
  </si>
  <si>
    <t>Zone Works - POW Works</t>
  </si>
  <si>
    <t>May</t>
  </si>
  <si>
    <t>ddo089</t>
  </si>
  <si>
    <t xml:space="preserve"> Assistant Executive Engineer Electrical East Zone</t>
  </si>
  <si>
    <t>Kushal Nagara</t>
  </si>
  <si>
    <t>031-14-000052</t>
  </si>
  <si>
    <t>CONSTRUCTION OF CULVERTS AT KARUMARIYAMMAN NAGAR KUSHAL NAGAR AND SURROUNDINGS IN WARD NO 31</t>
  </si>
  <si>
    <t>Babu Baig</t>
  </si>
  <si>
    <t>ddo079</t>
  </si>
  <si>
    <t xml:space="preserve"> Assistant Executive Engineer K G Halli East Zone</t>
  </si>
  <si>
    <t>031-16-000024</t>
  </si>
  <si>
    <t>Improvements to roads at Seven Days school in ward No 31 Kushal Nagara</t>
  </si>
  <si>
    <t>M/s KRIDL</t>
  </si>
  <si>
    <t>P2415</t>
  </si>
  <si>
    <t>Reserve fund for TandF Committee</t>
  </si>
  <si>
    <t>031-16-000021</t>
  </si>
  <si>
    <t>Construction of C C roads in Kasturi Nagar and Surrounding Areas in Ward No 31 Kushal Nagar</t>
  </si>
  <si>
    <t>031-17-000069</t>
  </si>
  <si>
    <t>REMOVAL OF HISTIRICAL DEBRIS AT NAGAWARA MAIN ROAD AND SHAMPURA MAIN ROAD IN WARD NO 31</t>
  </si>
  <si>
    <t>P.R. Srinivas</t>
  </si>
  <si>
    <t>031-16-000001</t>
  </si>
  <si>
    <t>Operation and Maintenance of street lights at Kushala nagara and Kavalbyrasandra area ward no,s 31 and 32 Package E 4 for one year.</t>
  </si>
  <si>
    <t>M/s.S.M.S.Electricals</t>
  </si>
  <si>
    <t>031-19-000014</t>
  </si>
  <si>
    <t>IMPROVEMENTS OF CC ROADS AND DRAINS AT 1ST MAIN 3RD  CROSS SURROUNDING AREA IN ASHOK  NAGAR IN WARD NO 31</t>
  </si>
  <si>
    <t xml:space="preserve">M/s KRIDL </t>
  </si>
  <si>
    <t>P1878</t>
  </si>
  <si>
    <t>18per - Works (Bhagyajyothi, Sooru / Neeru Yojane and General) (54 Lakhs / New Wards)</t>
  </si>
  <si>
    <t>031-19-000013</t>
  </si>
  <si>
    <t>IMPROVEMENTS OF CC ROADS AND DRAINS AT 1ST MAIN 2ND  CROSS SURROUNDING AREA IN ASHOK  NAGAR IN WARD NO 31</t>
  </si>
  <si>
    <t>031-19-000012</t>
  </si>
  <si>
    <t>IMPROVEMENTS TO ROADS AND DRAINS AT 1ST MAIN 1ST CROSS SURROUNDINGS AREA IN ASHOK NAGAR IN WARD NO 31</t>
  </si>
  <si>
    <t>031-19-000015</t>
  </si>
  <si>
    <t>REMOVIMG AND CLEANING DEBRIS IN ASHOKNAGAR AND SURROUNDING AREA IN WARD NO 31</t>
  </si>
  <si>
    <t>031-17-000044</t>
  </si>
  <si>
    <t>Construction of RCC drain opp. to sophia school at anwer layout in ward 31</t>
  </si>
  <si>
    <t>L. Gangadhar</t>
  </si>
  <si>
    <t>031-17-000041</t>
  </si>
  <si>
    <t>Improvements to roads at Karumariyamma nagara cross roads in ward 31</t>
  </si>
  <si>
    <t>July</t>
  </si>
  <si>
    <t>031-19-000008</t>
  </si>
  <si>
    <t>IMPROVEMENTS OF CC ROADS AND DRAINS AT 5TH CROSS MUNESHWARA NAGAR IN WARD NO 31</t>
  </si>
  <si>
    <t>031-19-000011</t>
  </si>
  <si>
    <t>IMPROVEMENTS OF CC ROADS AND DRAINS AT 8TH CROSS SURROUNDING AREA IN MUNESHWARA NAGAR IN WARD NO 31</t>
  </si>
  <si>
    <t>031-19-000010</t>
  </si>
  <si>
    <t>IMPROVEMENTS OF CC ROADS AND DRAINS AT 7TH CROSS SURROUNDING AREA IN MUNESHWARA NAGAR IN WARD NO 31</t>
  </si>
  <si>
    <t>031-19-000007</t>
  </si>
  <si>
    <t>IMPROVEMENTS OF CC ROADS AND DRAINS AT 4TH A CROSS MUNESHWARA NAGAR IN WARD NO 31</t>
  </si>
  <si>
    <t>031-19-000009</t>
  </si>
  <si>
    <t>IMPROVEMENTS OF CC ROADS AND DRAINS AT 6TH CROSS SURROUNDING AREA IN MUNESHWARA NAGAR IN WARD NO 31</t>
  </si>
  <si>
    <t>031-19-000006</t>
  </si>
  <si>
    <t>IMPROVEMENTS OF CC ROADS AND DRAINS AT 4TH CROSS MUNESHWARA NAGAR IN WARD NO 31</t>
  </si>
  <si>
    <t>031-17-000047</t>
  </si>
  <si>
    <t>Improvements to P and T colony roads in ward no 31 kushal nagar</t>
  </si>
  <si>
    <t>Lokanath Reddy</t>
  </si>
  <si>
    <t>August</t>
  </si>
  <si>
    <t>031-17-000036</t>
  </si>
  <si>
    <t>Desilting of drains at Doddanna Lanes 1st main and 2nd main in Ward.31</t>
  </si>
  <si>
    <t>S.K. Haroon</t>
  </si>
  <si>
    <t>031-18-000002</t>
  </si>
  <si>
    <t>Providing and linking of 100x100 mm water supply line at Muneshawar nagar 6 th cross coming under Pillanna Garden service station .</t>
  </si>
  <si>
    <t>BWSSB</t>
  </si>
  <si>
    <t>P0541</t>
  </si>
  <si>
    <t>Emergency Reserve Fund</t>
  </si>
  <si>
    <t>031-18-000004</t>
  </si>
  <si>
    <t>Providing and linking Missing 100 mm dia water supply line and 100 ,150, valves at kushal nagar ward no 31..</t>
  </si>
  <si>
    <t>031-18-000005</t>
  </si>
  <si>
    <t>Replacing damaged and silted up 225 mm dia SW line (0.6mtr length pipe )by 225 mm dia SW line (1.0mtr length pipe )with gasket joint at Ramatent 1 st and 2 nd cross roads Coming under pillanna garden service station.</t>
  </si>
  <si>
    <t>031-18-000006</t>
  </si>
  <si>
    <t>Replacing damaged and silted up 225 mm dia SW line (0.6mtr length pipe )by 225 mm dia SW line (1.0mtr length pipe )with gasket joint at Income tax layout 1 st and 2 nd cross Coming under pillanna garden service station.</t>
  </si>
  <si>
    <t>031-18-000007</t>
  </si>
  <si>
    <t>Replacing damaged and silted up 225 mm dia SW line (0.6mtr length pipe )by 225 mm dia SW line (1.0mtr length pipe )with gasket joint at Anwar layout 4 th and 5 th cross Coming under pillanna garden service station.</t>
  </si>
  <si>
    <t>031-18-000008</t>
  </si>
  <si>
    <t>Replacing damaged and silted up 225 mm dia and 150 mm dia SW line (0.6mtr length pipe )by 225 mm dia SW line (1.0mtr length pipe )with gasket joint at Anwar layout 2 nd main 2 nd and 3rd cross Coming under pillanna garden service station.</t>
  </si>
  <si>
    <t>031-18-000013</t>
  </si>
  <si>
    <t>Replacing damaged and silted up 225 mm dia SW line (0.6mtr length pipe )by 225 mm dia SW line (1.0mtr length pipe )with gasket joint at km layout Coming under pillanna garden service station.</t>
  </si>
  <si>
    <t>031-18-000014</t>
  </si>
  <si>
    <t>Replacing damaged and silted up 225 mm dia SW line (0.6mtr length pipe )by 225 mm dia SW line (1.0mtr length pipe )with gasket joint at Kushal nagar ward no 31 .</t>
  </si>
  <si>
    <t>031-18-000012</t>
  </si>
  <si>
    <t>Replacing damaged and silted up 225 mm dia SW line (0.6mtr length pipe )by 225 mm dia SW line (1.0mtr length pipe )with gasket joint at Saukar lane slum Coming under pillanna garden service station.</t>
  </si>
  <si>
    <t>031-18-000009</t>
  </si>
  <si>
    <t>Replacing damaged and silted up 225 mm dia SW line (0.6mtr length pipe )by 225 mm dia SW line (1.0mtr length pipe )with gasket joint atKushal nagar 1st to 7th cross near play well school Coming under pillanna garden service station.</t>
  </si>
  <si>
    <t>031-18-000010</t>
  </si>
  <si>
    <t>Providing and laying 300 mm dia RCC NP3Class SW Pipe line in place of 225 mm dia SW line with at Muneshwar nagar 4th to 6th cross and linking to sub main Coming under pillanna garden service station.</t>
  </si>
  <si>
    <t>031-18-000011</t>
  </si>
  <si>
    <t>Replacing damaged and silted up 225 mm dia SW line (0.6mtr length pipe )by 225 mm dia SW line (1.0mtr length pipe )with gasket joint at Ashoka nagar 1st and 2 nd cross Coming under pillanna garden service station.</t>
  </si>
  <si>
    <t>September</t>
  </si>
  <si>
    <t>031-18-000001</t>
  </si>
  <si>
    <t>Providing laying 150 mm dia supply line at Shampur main road and fixing 150 mm valve Shampur main road coming under Pillanna Garden service station .</t>
  </si>
  <si>
    <t>031-18-000003</t>
  </si>
  <si>
    <t>Providing and linking of 100x100 mm water supply line at Muslim Colony cross roads at dead end coming under Pillanna Garden service station .</t>
  </si>
  <si>
    <t>October</t>
  </si>
  <si>
    <t>031-18-000043</t>
  </si>
  <si>
    <t>Drinking Water Works in Ward No 31 Kushal nagara</t>
  </si>
  <si>
    <t>P3293</t>
  </si>
  <si>
    <t>14th Finance Commission Works - Drinking Water</t>
  </si>
  <si>
    <t>031-18-000046</t>
  </si>
  <si>
    <t>Roads and foot path maintenance works in ward no 31 Kushal Nagara</t>
  </si>
  <si>
    <t>P3296</t>
  </si>
  <si>
    <t>14th Finance Commission Works - Road and Footpath Maintenance</t>
  </si>
  <si>
    <t>November</t>
  </si>
  <si>
    <t>December</t>
  </si>
  <si>
    <t>031-19-000018</t>
  </si>
  <si>
    <t>REMOVING AND CLEANING DEBRIS IN KARUMARIYAMMA NAGARA AND SURROUNDING AREA IN WARD NO 31</t>
  </si>
  <si>
    <t>031-19-000016</t>
  </si>
  <si>
    <t>IMPROVEMENTS TO ROADS AND DRAINS AT KARUMARIYAMMA TEMPLE SURROUNDING AREA IN WARD NO 31</t>
  </si>
  <si>
    <t>031-19-000017</t>
  </si>
  <si>
    <t>IMPROVEMENTS TO ROADS AND DRAINS AT ICE FACTORY SURROUNDING AREA IN KARUMARIYAMMA NAGAR IN WARD NO 31</t>
  </si>
  <si>
    <t>031-19-000019</t>
  </si>
  <si>
    <t>IMPROVEMENTS TO ROADS AND DRAINS AT VIJAYA LAKSHMI HOTEL BACK SIDE SURROUNDING AREA IN WARD NO 31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</si>
</sst>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1"/>
  <sheetViews>
    <sheetView tabSelected="1" workbookViewId="0">
      <selection activeCell="B1" sqref="B1"/>
    </sheetView>
  </sheetViews>
  <sheetFormatPr defaultRowHeight="14.5" x14ac:dyDescent="0.35"/>
  <cols>
    <col min="1" max="1" width="5" bestFit="1" customWidth="1"/>
    <col min="2" max="2" width="6.26953125" bestFit="1" customWidth="1"/>
    <col min="3" max="3" width="8.6328125" bestFit="1" customWidth="1"/>
    <col min="5" max="5" width="11.6328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1064</v>
      </c>
      <c r="B2" s="6" t="s">
        <v>28</v>
      </c>
      <c r="C2" s="7">
        <v>43566</v>
      </c>
      <c r="D2" s="8">
        <v>31</v>
      </c>
      <c r="E2" s="9" t="s">
        <v>37</v>
      </c>
      <c r="F2" s="8" t="s">
        <v>38</v>
      </c>
      <c r="G2" s="9" t="s">
        <v>39</v>
      </c>
      <c r="H2" s="8" t="str">
        <f>"000127"</f>
        <v>000127</v>
      </c>
      <c r="I2" s="7">
        <v>41949</v>
      </c>
      <c r="J2" s="8" t="str">
        <f>"000125"</f>
        <v>000125</v>
      </c>
      <c r="K2" s="7">
        <v>42916</v>
      </c>
      <c r="L2" s="8" t="str">
        <f>"000173"</f>
        <v>000173</v>
      </c>
      <c r="M2" s="7">
        <v>42916</v>
      </c>
      <c r="N2" s="8">
        <v>14</v>
      </c>
      <c r="O2" s="8" t="str">
        <f>"000076"</f>
        <v>000076</v>
      </c>
      <c r="P2" s="7">
        <v>43563</v>
      </c>
      <c r="Q2" s="10">
        <v>1.8150299999999999</v>
      </c>
      <c r="R2" s="10">
        <v>0.2359</v>
      </c>
      <c r="S2" s="10">
        <v>1.5791299999999999</v>
      </c>
      <c r="T2" s="8">
        <v>12</v>
      </c>
      <c r="U2" s="7">
        <v>43566</v>
      </c>
      <c r="V2" s="8">
        <v>9986431786</v>
      </c>
      <c r="W2" s="9" t="s">
        <v>40</v>
      </c>
      <c r="X2" s="8" t="s">
        <v>32</v>
      </c>
      <c r="Y2" s="9" t="s">
        <v>33</v>
      </c>
      <c r="Z2" s="8" t="s">
        <v>41</v>
      </c>
      <c r="AA2" s="9" t="s">
        <v>42</v>
      </c>
      <c r="AB2" s="10">
        <f t="shared" ref="AB2:AB8" si="0">Q2/100</f>
        <v>1.8150299999999998E-2</v>
      </c>
    </row>
    <row r="3" spans="1:28" s="4" customFormat="1" ht="13" x14ac:dyDescent="0.3">
      <c r="A3" s="5">
        <v>1065</v>
      </c>
      <c r="B3" s="6" t="s">
        <v>28</v>
      </c>
      <c r="C3" s="7">
        <v>43566</v>
      </c>
      <c r="D3" s="8">
        <v>31</v>
      </c>
      <c r="E3" s="9" t="s">
        <v>37</v>
      </c>
      <c r="F3" s="8" t="s">
        <v>43</v>
      </c>
      <c r="G3" s="9" t="s">
        <v>44</v>
      </c>
      <c r="H3" s="8" t="str">
        <f>"000069"</f>
        <v>000069</v>
      </c>
      <c r="I3" s="7">
        <v>42515</v>
      </c>
      <c r="J3" s="8" t="str">
        <f>"000142"</f>
        <v>000142</v>
      </c>
      <c r="K3" s="7">
        <v>42916</v>
      </c>
      <c r="L3" s="8" t="str">
        <f>"000187"</f>
        <v>000187</v>
      </c>
      <c r="M3" s="7">
        <v>42916</v>
      </c>
      <c r="N3" s="8">
        <v>16</v>
      </c>
      <c r="O3" s="8" t="str">
        <f>"000079"</f>
        <v>000079</v>
      </c>
      <c r="P3" s="7">
        <v>43563</v>
      </c>
      <c r="Q3" s="10">
        <v>11.56038</v>
      </c>
      <c r="R3" s="10">
        <v>1.60466</v>
      </c>
      <c r="S3" s="10">
        <v>9.9557199999999995</v>
      </c>
      <c r="T3" s="8">
        <v>12</v>
      </c>
      <c r="U3" s="7">
        <v>43566</v>
      </c>
      <c r="V3" s="8">
        <v>9845028772</v>
      </c>
      <c r="W3" s="9" t="s">
        <v>45</v>
      </c>
      <c r="X3" s="8" t="s">
        <v>46</v>
      </c>
      <c r="Y3" s="9" t="s">
        <v>47</v>
      </c>
      <c r="Z3" s="8" t="s">
        <v>41</v>
      </c>
      <c r="AA3" s="9" t="s">
        <v>42</v>
      </c>
      <c r="AB3" s="10">
        <f t="shared" si="0"/>
        <v>0.11560380000000001</v>
      </c>
    </row>
    <row r="4" spans="1:28" s="4" customFormat="1" ht="13" x14ac:dyDescent="0.3">
      <c r="A4" s="5">
        <v>1066</v>
      </c>
      <c r="B4" s="6" t="s">
        <v>28</v>
      </c>
      <c r="C4" s="7">
        <v>43566</v>
      </c>
      <c r="D4" s="8">
        <v>31</v>
      </c>
      <c r="E4" s="9" t="s">
        <v>37</v>
      </c>
      <c r="F4" s="8" t="s">
        <v>48</v>
      </c>
      <c r="G4" s="9" t="s">
        <v>49</v>
      </c>
      <c r="H4" s="8" t="str">
        <f>"000066"</f>
        <v>000066</v>
      </c>
      <c r="I4" s="7">
        <v>42515</v>
      </c>
      <c r="J4" s="8" t="str">
        <f>"000141"</f>
        <v>000141</v>
      </c>
      <c r="K4" s="7">
        <v>42916</v>
      </c>
      <c r="L4" s="8" t="str">
        <f>"000189"</f>
        <v>000189</v>
      </c>
      <c r="M4" s="7">
        <v>42916</v>
      </c>
      <c r="N4" s="8">
        <v>16</v>
      </c>
      <c r="O4" s="8" t="str">
        <f>"000080"</f>
        <v>000080</v>
      </c>
      <c r="P4" s="7">
        <v>43563</v>
      </c>
      <c r="Q4" s="10">
        <v>8.7082499999999996</v>
      </c>
      <c r="R4" s="10">
        <v>1.2422</v>
      </c>
      <c r="S4" s="10">
        <v>7.4660500000000001</v>
      </c>
      <c r="T4" s="8">
        <v>12</v>
      </c>
      <c r="U4" s="7">
        <v>43566</v>
      </c>
      <c r="V4" s="8">
        <v>9845028772</v>
      </c>
      <c r="W4" s="9" t="s">
        <v>45</v>
      </c>
      <c r="X4" s="8" t="s">
        <v>46</v>
      </c>
      <c r="Y4" s="9" t="s">
        <v>47</v>
      </c>
      <c r="Z4" s="8" t="s">
        <v>41</v>
      </c>
      <c r="AA4" s="9" t="s">
        <v>42</v>
      </c>
      <c r="AB4" s="10">
        <f t="shared" si="0"/>
        <v>8.7082499999999993E-2</v>
      </c>
    </row>
    <row r="5" spans="1:28" s="4" customFormat="1" ht="13" x14ac:dyDescent="0.3">
      <c r="A5" s="5">
        <v>1067</v>
      </c>
      <c r="B5" s="6" t="s">
        <v>28</v>
      </c>
      <c r="C5" s="7">
        <v>43575</v>
      </c>
      <c r="D5" s="8">
        <v>31</v>
      </c>
      <c r="E5" s="9" t="s">
        <v>37</v>
      </c>
      <c r="F5" s="8" t="s">
        <v>50</v>
      </c>
      <c r="G5" s="9" t="s">
        <v>51</v>
      </c>
      <c r="H5" s="8" t="str">
        <f>"000005"</f>
        <v>000005</v>
      </c>
      <c r="I5" s="7">
        <v>42975</v>
      </c>
      <c r="J5" s="8" t="str">
        <f>"000016"</f>
        <v>000016</v>
      </c>
      <c r="K5" s="7">
        <v>43021</v>
      </c>
      <c r="L5" s="8" t="str">
        <f>"000036"</f>
        <v>000036</v>
      </c>
      <c r="M5" s="7">
        <v>43024</v>
      </c>
      <c r="N5" s="8">
        <v>17</v>
      </c>
      <c r="O5" s="8" t="str">
        <f>"000488"</f>
        <v>000488</v>
      </c>
      <c r="P5" s="7">
        <v>43567</v>
      </c>
      <c r="Q5" s="10">
        <v>8.4827399999999997</v>
      </c>
      <c r="R5" s="10">
        <v>0.1782</v>
      </c>
      <c r="S5" s="10">
        <v>8.3045399999999994</v>
      </c>
      <c r="T5" s="8">
        <v>21</v>
      </c>
      <c r="U5" s="7">
        <v>43575</v>
      </c>
      <c r="V5" s="8">
        <v>9035660123</v>
      </c>
      <c r="W5" s="9" t="s">
        <v>52</v>
      </c>
      <c r="X5" s="8" t="s">
        <v>32</v>
      </c>
      <c r="Y5" s="9" t="s">
        <v>33</v>
      </c>
      <c r="Z5" s="8" t="s">
        <v>41</v>
      </c>
      <c r="AA5" s="9" t="s">
        <v>42</v>
      </c>
      <c r="AB5" s="10">
        <f t="shared" si="0"/>
        <v>8.4827399999999997E-2</v>
      </c>
    </row>
    <row r="6" spans="1:28" s="4" customFormat="1" ht="13" x14ac:dyDescent="0.3">
      <c r="A6" s="5">
        <v>1068</v>
      </c>
      <c r="B6" s="6" t="s">
        <v>28</v>
      </c>
      <c r="C6" s="7">
        <v>43582</v>
      </c>
      <c r="D6" s="8">
        <v>31</v>
      </c>
      <c r="E6" s="9" t="s">
        <v>37</v>
      </c>
      <c r="F6" s="8" t="s">
        <v>53</v>
      </c>
      <c r="G6" s="9" t="s">
        <v>54</v>
      </c>
      <c r="H6" s="8" t="str">
        <f>"000127"</f>
        <v>000127</v>
      </c>
      <c r="I6" s="7">
        <v>43152</v>
      </c>
      <c r="J6" s="8" t="str">
        <f>"000246"</f>
        <v>000246</v>
      </c>
      <c r="K6" s="7">
        <v>43519</v>
      </c>
      <c r="L6" s="8" t="str">
        <f>"000245"</f>
        <v>000245</v>
      </c>
      <c r="M6" s="7">
        <v>43519</v>
      </c>
      <c r="N6" s="8">
        <v>16</v>
      </c>
      <c r="O6" s="8" t="str">
        <f>"001115"</f>
        <v>001115</v>
      </c>
      <c r="P6" s="7">
        <v>43581</v>
      </c>
      <c r="Q6" s="10">
        <v>18.888999999999999</v>
      </c>
      <c r="R6" s="10">
        <v>2.6145999999999998</v>
      </c>
      <c r="S6" s="10">
        <v>16.2744</v>
      </c>
      <c r="T6" s="8">
        <v>32</v>
      </c>
      <c r="U6" s="7">
        <v>43582</v>
      </c>
      <c r="V6" s="8">
        <v>9901967054</v>
      </c>
      <c r="W6" s="9" t="s">
        <v>55</v>
      </c>
      <c r="X6" s="8" t="s">
        <v>29</v>
      </c>
      <c r="Y6" s="9" t="s">
        <v>30</v>
      </c>
      <c r="Z6" s="8" t="s">
        <v>35</v>
      </c>
      <c r="AA6" s="9" t="s">
        <v>36</v>
      </c>
      <c r="AB6" s="10">
        <f t="shared" si="0"/>
        <v>0.18889</v>
      </c>
    </row>
    <row r="7" spans="1:28" s="4" customFormat="1" ht="13" x14ac:dyDescent="0.3">
      <c r="A7" s="5">
        <v>1069</v>
      </c>
      <c r="B7" s="6" t="s">
        <v>34</v>
      </c>
      <c r="C7" s="7">
        <v>43603</v>
      </c>
      <c r="D7" s="8">
        <v>31</v>
      </c>
      <c r="E7" s="9" t="s">
        <v>37</v>
      </c>
      <c r="F7" s="8" t="s">
        <v>67</v>
      </c>
      <c r="G7" s="9" t="s">
        <v>68</v>
      </c>
      <c r="H7" s="8" t="str">
        <f>"000009"</f>
        <v>000009</v>
      </c>
      <c r="I7" s="7">
        <v>42976</v>
      </c>
      <c r="J7" s="8" t="str">
        <f>"000015"</f>
        <v>000015</v>
      </c>
      <c r="K7" s="7">
        <v>43005</v>
      </c>
      <c r="L7" s="8" t="str">
        <f>"000025"</f>
        <v>000025</v>
      </c>
      <c r="M7" s="7">
        <v>43005</v>
      </c>
      <c r="N7" s="8">
        <v>17</v>
      </c>
      <c r="O7" s="8" t="str">
        <f>"001743"</f>
        <v>001743</v>
      </c>
      <c r="P7" s="7">
        <v>43602</v>
      </c>
      <c r="Q7" s="10">
        <v>7.90578</v>
      </c>
      <c r="R7" s="10">
        <v>0.39090000000000003</v>
      </c>
      <c r="S7" s="10">
        <v>7.5148799999999998</v>
      </c>
      <c r="T7" s="8">
        <v>50</v>
      </c>
      <c r="U7" s="7">
        <v>43603</v>
      </c>
      <c r="V7" s="8">
        <v>9341260169</v>
      </c>
      <c r="W7" s="9" t="s">
        <v>69</v>
      </c>
      <c r="X7" s="8" t="s">
        <v>32</v>
      </c>
      <c r="Y7" s="9" t="s">
        <v>33</v>
      </c>
      <c r="Z7" s="8" t="s">
        <v>41</v>
      </c>
      <c r="AA7" s="9" t="s">
        <v>42</v>
      </c>
      <c r="AB7" s="10">
        <f t="shared" si="0"/>
        <v>7.9057799999999998E-2</v>
      </c>
    </row>
    <row r="8" spans="1:28" s="4" customFormat="1" ht="13" x14ac:dyDescent="0.3">
      <c r="A8" s="5">
        <v>1070</v>
      </c>
      <c r="B8" s="6" t="s">
        <v>34</v>
      </c>
      <c r="C8" s="7">
        <v>43609</v>
      </c>
      <c r="D8" s="8">
        <v>31</v>
      </c>
      <c r="E8" s="9" t="s">
        <v>37</v>
      </c>
      <c r="F8" s="8" t="s">
        <v>70</v>
      </c>
      <c r="G8" s="9" t="s">
        <v>71</v>
      </c>
      <c r="H8" s="8" t="str">
        <f>"000010"</f>
        <v>000010</v>
      </c>
      <c r="I8" s="7">
        <v>42976</v>
      </c>
      <c r="J8" s="8" t="str">
        <f>"000019"</f>
        <v>000019</v>
      </c>
      <c r="K8" s="7">
        <v>43039</v>
      </c>
      <c r="L8" s="8" t="str">
        <f>"000040"</f>
        <v>000040</v>
      </c>
      <c r="M8" s="7">
        <v>43039</v>
      </c>
      <c r="N8" s="8">
        <v>17</v>
      </c>
      <c r="O8" s="8" t="str">
        <f>"001972"</f>
        <v>001972</v>
      </c>
      <c r="P8" s="7">
        <v>43607</v>
      </c>
      <c r="Q8" s="10">
        <v>8.9967799999999993</v>
      </c>
      <c r="R8" s="10">
        <v>0.55439000000000005</v>
      </c>
      <c r="S8" s="10">
        <v>8.4423899999999996</v>
      </c>
      <c r="T8" s="8">
        <v>57</v>
      </c>
      <c r="U8" s="7">
        <v>43609</v>
      </c>
      <c r="V8" s="8">
        <v>9341260169</v>
      </c>
      <c r="W8" s="9" t="s">
        <v>69</v>
      </c>
      <c r="X8" s="8" t="s">
        <v>32</v>
      </c>
      <c r="Y8" s="9" t="s">
        <v>33</v>
      </c>
      <c r="Z8" s="8" t="s">
        <v>41</v>
      </c>
      <c r="AA8" s="9" t="s">
        <v>42</v>
      </c>
      <c r="AB8" s="10">
        <f t="shared" si="0"/>
        <v>8.9967799999999987E-2</v>
      </c>
    </row>
    <row r="9" spans="1:28" s="4" customFormat="1" ht="13" x14ac:dyDescent="0.3">
      <c r="A9" s="5">
        <v>1071</v>
      </c>
      <c r="B9" s="6" t="s">
        <v>31</v>
      </c>
      <c r="C9" s="7">
        <v>43617</v>
      </c>
      <c r="D9" s="8">
        <v>31</v>
      </c>
      <c r="E9" s="9" t="s">
        <v>37</v>
      </c>
      <c r="F9" s="8" t="s">
        <v>56</v>
      </c>
      <c r="G9" s="9" t="s">
        <v>57</v>
      </c>
      <c r="H9" s="8" t="str">
        <f>"000232"</f>
        <v>000232</v>
      </c>
      <c r="I9" s="7">
        <v>43424</v>
      </c>
      <c r="J9" s="8" t="str">
        <f>"000174"</f>
        <v>000174</v>
      </c>
      <c r="K9" s="7">
        <v>43496</v>
      </c>
      <c r="L9" s="8" t="str">
        <f>"000305"</f>
        <v>000305</v>
      </c>
      <c r="M9" s="7">
        <v>43496</v>
      </c>
      <c r="N9" s="8">
        <v>19</v>
      </c>
      <c r="O9" s="8" t="str">
        <f>"001905"</f>
        <v>001905</v>
      </c>
      <c r="P9" s="7">
        <v>43607</v>
      </c>
      <c r="Q9" s="10">
        <v>14.89514</v>
      </c>
      <c r="R9" s="10">
        <v>1.8021799999999999</v>
      </c>
      <c r="S9" s="10">
        <v>13.09296</v>
      </c>
      <c r="T9" s="8">
        <v>67</v>
      </c>
      <c r="U9" s="7">
        <v>43617</v>
      </c>
      <c r="V9" s="8">
        <v>9448486991</v>
      </c>
      <c r="W9" s="9" t="s">
        <v>58</v>
      </c>
      <c r="X9" s="8" t="s">
        <v>59</v>
      </c>
      <c r="Y9" s="9" t="s">
        <v>60</v>
      </c>
      <c r="Z9" s="8" t="s">
        <v>41</v>
      </c>
      <c r="AA9" s="9" t="s">
        <v>42</v>
      </c>
      <c r="AB9" s="10">
        <v>0.14895139999999998</v>
      </c>
    </row>
    <row r="10" spans="1:28" s="4" customFormat="1" ht="13" x14ac:dyDescent="0.3">
      <c r="A10" s="5">
        <v>1072</v>
      </c>
      <c r="B10" s="6" t="s">
        <v>31</v>
      </c>
      <c r="C10" s="7">
        <v>43617</v>
      </c>
      <c r="D10" s="8">
        <v>31</v>
      </c>
      <c r="E10" s="9" t="s">
        <v>37</v>
      </c>
      <c r="F10" s="8" t="s">
        <v>61</v>
      </c>
      <c r="G10" s="9" t="s">
        <v>62</v>
      </c>
      <c r="H10" s="8" t="str">
        <f>"000229"</f>
        <v>000229</v>
      </c>
      <c r="I10" s="7">
        <v>43424</v>
      </c>
      <c r="J10" s="8" t="str">
        <f>"000175"</f>
        <v>000175</v>
      </c>
      <c r="K10" s="7">
        <v>43496</v>
      </c>
      <c r="L10" s="8" t="str">
        <f>"000306"</f>
        <v>000306</v>
      </c>
      <c r="M10" s="7">
        <v>43496</v>
      </c>
      <c r="N10" s="8">
        <v>19</v>
      </c>
      <c r="O10" s="8" t="str">
        <f>"001906"</f>
        <v>001906</v>
      </c>
      <c r="P10" s="7">
        <v>43607</v>
      </c>
      <c r="Q10" s="10">
        <v>14.75938</v>
      </c>
      <c r="R10" s="10">
        <v>1.8837600000000001</v>
      </c>
      <c r="S10" s="10">
        <v>12.87562</v>
      </c>
      <c r="T10" s="8">
        <v>67</v>
      </c>
      <c r="U10" s="7">
        <v>43617</v>
      </c>
      <c r="V10" s="8">
        <v>9448486991</v>
      </c>
      <c r="W10" s="9" t="s">
        <v>58</v>
      </c>
      <c r="X10" s="8" t="s">
        <v>59</v>
      </c>
      <c r="Y10" s="9" t="s">
        <v>60</v>
      </c>
      <c r="Z10" s="8" t="s">
        <v>41</v>
      </c>
      <c r="AA10" s="9" t="s">
        <v>42</v>
      </c>
      <c r="AB10" s="10">
        <v>0.1475938</v>
      </c>
    </row>
    <row r="11" spans="1:28" s="4" customFormat="1" ht="13" x14ac:dyDescent="0.3">
      <c r="A11" s="5">
        <v>1073</v>
      </c>
      <c r="B11" s="6" t="s">
        <v>31</v>
      </c>
      <c r="C11" s="7">
        <v>43617</v>
      </c>
      <c r="D11" s="8">
        <v>31</v>
      </c>
      <c r="E11" s="9" t="s">
        <v>37</v>
      </c>
      <c r="F11" s="8" t="s">
        <v>63</v>
      </c>
      <c r="G11" s="9" t="s">
        <v>64</v>
      </c>
      <c r="H11" s="8" t="str">
        <f>"000231"</f>
        <v>000231</v>
      </c>
      <c r="I11" s="7">
        <v>43424</v>
      </c>
      <c r="J11" s="8" t="str">
        <f>"000173"</f>
        <v>000173</v>
      </c>
      <c r="K11" s="7">
        <v>43496</v>
      </c>
      <c r="L11" s="8" t="str">
        <f>"000307"</f>
        <v>000307</v>
      </c>
      <c r="M11" s="7">
        <v>43496</v>
      </c>
      <c r="N11" s="8">
        <v>19</v>
      </c>
      <c r="O11" s="8" t="str">
        <f>"001907"</f>
        <v>001907</v>
      </c>
      <c r="P11" s="7">
        <v>43607</v>
      </c>
      <c r="Q11" s="10">
        <v>14.844189999999999</v>
      </c>
      <c r="R11" s="10">
        <v>1.8952800000000001</v>
      </c>
      <c r="S11" s="10">
        <v>12.94891</v>
      </c>
      <c r="T11" s="8">
        <v>67</v>
      </c>
      <c r="U11" s="7">
        <v>43617</v>
      </c>
      <c r="V11" s="8">
        <v>9448486991</v>
      </c>
      <c r="W11" s="9" t="s">
        <v>58</v>
      </c>
      <c r="X11" s="8" t="s">
        <v>59</v>
      </c>
      <c r="Y11" s="9" t="s">
        <v>60</v>
      </c>
      <c r="Z11" s="8" t="s">
        <v>41</v>
      </c>
      <c r="AA11" s="9" t="s">
        <v>42</v>
      </c>
      <c r="AB11" s="10">
        <v>0.14844189999999999</v>
      </c>
    </row>
    <row r="12" spans="1:28" s="4" customFormat="1" ht="13" x14ac:dyDescent="0.3">
      <c r="A12" s="5">
        <v>1074</v>
      </c>
      <c r="B12" s="6" t="s">
        <v>31</v>
      </c>
      <c r="C12" s="7">
        <v>43617</v>
      </c>
      <c r="D12" s="8">
        <v>31</v>
      </c>
      <c r="E12" s="9" t="s">
        <v>37</v>
      </c>
      <c r="F12" s="8" t="s">
        <v>65</v>
      </c>
      <c r="G12" s="9" t="s">
        <v>66</v>
      </c>
      <c r="H12" s="8" t="str">
        <f>"000230"</f>
        <v>000230</v>
      </c>
      <c r="I12" s="7">
        <v>43424</v>
      </c>
      <c r="J12" s="8" t="str">
        <f>"000172"</f>
        <v>000172</v>
      </c>
      <c r="K12" s="7">
        <v>43496</v>
      </c>
      <c r="L12" s="8" t="str">
        <f>"000308"</f>
        <v>000308</v>
      </c>
      <c r="M12" s="7">
        <v>43496</v>
      </c>
      <c r="N12" s="8">
        <v>19</v>
      </c>
      <c r="O12" s="8" t="str">
        <f>"001908"</f>
        <v>001908</v>
      </c>
      <c r="P12" s="7">
        <v>43607</v>
      </c>
      <c r="Q12" s="10">
        <v>4.8546199999999997</v>
      </c>
      <c r="R12" s="10">
        <v>0.48380000000000001</v>
      </c>
      <c r="S12" s="10">
        <v>4.3708200000000001</v>
      </c>
      <c r="T12" s="8">
        <v>67</v>
      </c>
      <c r="U12" s="7">
        <v>43617</v>
      </c>
      <c r="V12" s="8">
        <v>9448486991</v>
      </c>
      <c r="W12" s="9" t="s">
        <v>58</v>
      </c>
      <c r="X12" s="8" t="s">
        <v>59</v>
      </c>
      <c r="Y12" s="9" t="s">
        <v>60</v>
      </c>
      <c r="Z12" s="8" t="s">
        <v>41</v>
      </c>
      <c r="AA12" s="9" t="s">
        <v>42</v>
      </c>
      <c r="AB12" s="10">
        <v>4.8546199999999998E-2</v>
      </c>
    </row>
    <row r="13" spans="1:28" s="4" customFormat="1" ht="13" x14ac:dyDescent="0.3">
      <c r="A13" s="5">
        <v>1075</v>
      </c>
      <c r="B13" s="6" t="s">
        <v>72</v>
      </c>
      <c r="C13" s="7">
        <v>43647</v>
      </c>
      <c r="D13" s="8">
        <v>31</v>
      </c>
      <c r="E13" s="9" t="s">
        <v>37</v>
      </c>
      <c r="F13" s="8" t="s">
        <v>73</v>
      </c>
      <c r="G13" s="11" t="s">
        <v>74</v>
      </c>
      <c r="H13" s="8" t="str">
        <f>"000256"</f>
        <v>000256</v>
      </c>
      <c r="I13" s="7">
        <v>43446</v>
      </c>
      <c r="J13" s="8" t="str">
        <f>"000053"</f>
        <v>000053</v>
      </c>
      <c r="K13" s="7">
        <v>43593</v>
      </c>
      <c r="L13" s="8" t="str">
        <f>"000066"</f>
        <v>000066</v>
      </c>
      <c r="M13" s="7">
        <v>43595</v>
      </c>
      <c r="N13" s="8">
        <v>19</v>
      </c>
      <c r="O13" s="8" t="str">
        <f>"002972"</f>
        <v>002972</v>
      </c>
      <c r="P13" s="7">
        <v>43640</v>
      </c>
      <c r="Q13" s="12">
        <v>19.79026</v>
      </c>
      <c r="R13" s="12">
        <v>2.0041500000000001</v>
      </c>
      <c r="S13" s="12">
        <v>17.786110000000001</v>
      </c>
      <c r="T13" s="8">
        <v>97</v>
      </c>
      <c r="U13" s="7">
        <v>43647</v>
      </c>
      <c r="V13" s="8">
        <v>9019599452</v>
      </c>
      <c r="W13" s="11" t="s">
        <v>58</v>
      </c>
      <c r="X13" s="8" t="s">
        <v>59</v>
      </c>
      <c r="Y13" s="11" t="s">
        <v>60</v>
      </c>
      <c r="Z13" s="8" t="s">
        <v>41</v>
      </c>
      <c r="AA13" s="11" t="s">
        <v>42</v>
      </c>
      <c r="AB13" s="12">
        <f t="shared" ref="AB13:AB34" si="1">Q13/100</f>
        <v>0.19790260000000001</v>
      </c>
    </row>
    <row r="14" spans="1:28" s="4" customFormat="1" ht="13" x14ac:dyDescent="0.3">
      <c r="A14" s="5">
        <v>1076</v>
      </c>
      <c r="B14" s="6" t="s">
        <v>72</v>
      </c>
      <c r="C14" s="7">
        <v>43647</v>
      </c>
      <c r="D14" s="8">
        <v>31</v>
      </c>
      <c r="E14" s="9" t="s">
        <v>37</v>
      </c>
      <c r="F14" s="8" t="s">
        <v>75</v>
      </c>
      <c r="G14" s="11" t="s">
        <v>76</v>
      </c>
      <c r="H14" s="8" t="str">
        <f>"000259"</f>
        <v>000259</v>
      </c>
      <c r="I14" s="7">
        <v>43446</v>
      </c>
      <c r="J14" s="8" t="str">
        <f>"000056"</f>
        <v>000056</v>
      </c>
      <c r="K14" s="7">
        <v>43593</v>
      </c>
      <c r="L14" s="8" t="str">
        <f>"000063"</f>
        <v>000063</v>
      </c>
      <c r="M14" s="7">
        <v>43595</v>
      </c>
      <c r="N14" s="8">
        <v>19</v>
      </c>
      <c r="O14" s="8" t="str">
        <f>"002974"</f>
        <v>002974</v>
      </c>
      <c r="P14" s="7">
        <v>43640</v>
      </c>
      <c r="Q14" s="12">
        <v>9.8335500000000007</v>
      </c>
      <c r="R14" s="12">
        <v>0.95499999999999996</v>
      </c>
      <c r="S14" s="12">
        <v>8.8785500000000006</v>
      </c>
      <c r="T14" s="8">
        <v>97</v>
      </c>
      <c r="U14" s="7">
        <v>43647</v>
      </c>
      <c r="V14" s="8">
        <v>9019599452</v>
      </c>
      <c r="W14" s="11" t="s">
        <v>58</v>
      </c>
      <c r="X14" s="8" t="s">
        <v>59</v>
      </c>
      <c r="Y14" s="11" t="s">
        <v>60</v>
      </c>
      <c r="Z14" s="8" t="s">
        <v>41</v>
      </c>
      <c r="AA14" s="11" t="s">
        <v>42</v>
      </c>
      <c r="AB14" s="12">
        <f t="shared" si="1"/>
        <v>9.8335500000000006E-2</v>
      </c>
    </row>
    <row r="15" spans="1:28" s="4" customFormat="1" ht="13" x14ac:dyDescent="0.3">
      <c r="A15" s="5">
        <v>1077</v>
      </c>
      <c r="B15" s="6" t="s">
        <v>72</v>
      </c>
      <c r="C15" s="7">
        <v>43647</v>
      </c>
      <c r="D15" s="8">
        <v>31</v>
      </c>
      <c r="E15" s="9" t="s">
        <v>37</v>
      </c>
      <c r="F15" s="8" t="s">
        <v>77</v>
      </c>
      <c r="G15" s="11" t="s">
        <v>78</v>
      </c>
      <c r="H15" s="8" t="str">
        <f>"000258"</f>
        <v>000258</v>
      </c>
      <c r="I15" s="7">
        <v>43446</v>
      </c>
      <c r="J15" s="8" t="str">
        <f>"000055"</f>
        <v>000055</v>
      </c>
      <c r="K15" s="7">
        <v>43593</v>
      </c>
      <c r="L15" s="8" t="str">
        <f>"000068"</f>
        <v>000068</v>
      </c>
      <c r="M15" s="7">
        <v>43595</v>
      </c>
      <c r="N15" s="8">
        <v>19</v>
      </c>
      <c r="O15" s="8" t="str">
        <f>"002975"</f>
        <v>002975</v>
      </c>
      <c r="P15" s="7">
        <v>43640</v>
      </c>
      <c r="Q15" s="12">
        <v>19.98039</v>
      </c>
      <c r="R15" s="12">
        <v>1.9619</v>
      </c>
      <c r="S15" s="12">
        <v>18.01849</v>
      </c>
      <c r="T15" s="8">
        <v>97</v>
      </c>
      <c r="U15" s="7">
        <v>43647</v>
      </c>
      <c r="V15" s="8">
        <v>9019599452</v>
      </c>
      <c r="W15" s="11" t="s">
        <v>58</v>
      </c>
      <c r="X15" s="8" t="s">
        <v>59</v>
      </c>
      <c r="Y15" s="11" t="s">
        <v>60</v>
      </c>
      <c r="Z15" s="8" t="s">
        <v>41</v>
      </c>
      <c r="AA15" s="11" t="s">
        <v>42</v>
      </c>
      <c r="AB15" s="12">
        <f t="shared" si="1"/>
        <v>0.19980390000000001</v>
      </c>
    </row>
    <row r="16" spans="1:28" s="4" customFormat="1" ht="13" x14ac:dyDescent="0.3">
      <c r="A16" s="5">
        <v>1078</v>
      </c>
      <c r="B16" s="6" t="s">
        <v>72</v>
      </c>
      <c r="C16" s="7">
        <v>43647</v>
      </c>
      <c r="D16" s="8">
        <v>31</v>
      </c>
      <c r="E16" s="9" t="s">
        <v>37</v>
      </c>
      <c r="F16" s="8" t="s">
        <v>79</v>
      </c>
      <c r="G16" s="11" t="s">
        <v>80</v>
      </c>
      <c r="H16" s="8" t="str">
        <f>"000255"</f>
        <v>000255</v>
      </c>
      <c r="I16" s="7">
        <v>43446</v>
      </c>
      <c r="J16" s="8" t="str">
        <f>"000052"</f>
        <v>000052</v>
      </c>
      <c r="K16" s="7">
        <v>43593</v>
      </c>
      <c r="L16" s="8" t="str">
        <f>"000067"</f>
        <v>000067</v>
      </c>
      <c r="M16" s="7">
        <v>43595</v>
      </c>
      <c r="N16" s="8">
        <v>19</v>
      </c>
      <c r="O16" s="8" t="str">
        <f>"002987"</f>
        <v>002987</v>
      </c>
      <c r="P16" s="7">
        <v>43640</v>
      </c>
      <c r="Q16" s="12">
        <v>9.9051200000000001</v>
      </c>
      <c r="R16" s="12">
        <v>0.96350000000000002</v>
      </c>
      <c r="S16" s="12">
        <v>8.9416200000000003</v>
      </c>
      <c r="T16" s="8">
        <v>97</v>
      </c>
      <c r="U16" s="7">
        <v>43647</v>
      </c>
      <c r="V16" s="8">
        <v>9019599452</v>
      </c>
      <c r="W16" s="11" t="s">
        <v>58</v>
      </c>
      <c r="X16" s="8" t="s">
        <v>59</v>
      </c>
      <c r="Y16" s="11" t="s">
        <v>60</v>
      </c>
      <c r="Z16" s="8" t="s">
        <v>41</v>
      </c>
      <c r="AA16" s="11" t="s">
        <v>42</v>
      </c>
      <c r="AB16" s="12">
        <f t="shared" si="1"/>
        <v>9.9051200000000006E-2</v>
      </c>
    </row>
    <row r="17" spans="1:28" s="4" customFormat="1" ht="13" x14ac:dyDescent="0.3">
      <c r="A17" s="5">
        <v>1079</v>
      </c>
      <c r="B17" s="6" t="s">
        <v>72</v>
      </c>
      <c r="C17" s="7">
        <v>43647</v>
      </c>
      <c r="D17" s="8">
        <v>31</v>
      </c>
      <c r="E17" s="9" t="s">
        <v>37</v>
      </c>
      <c r="F17" s="8" t="s">
        <v>81</v>
      </c>
      <c r="G17" s="11" t="s">
        <v>82</v>
      </c>
      <c r="H17" s="8" t="str">
        <f>"000257"</f>
        <v>000257</v>
      </c>
      <c r="I17" s="7">
        <v>43446</v>
      </c>
      <c r="J17" s="8" t="str">
        <f>"000054"</f>
        <v>000054</v>
      </c>
      <c r="K17" s="7">
        <v>43593</v>
      </c>
      <c r="L17" s="8" t="str">
        <f>"000065"</f>
        <v>000065</v>
      </c>
      <c r="M17" s="7">
        <v>43595</v>
      </c>
      <c r="N17" s="8">
        <v>19</v>
      </c>
      <c r="O17" s="8" t="str">
        <f>"002988"</f>
        <v>002988</v>
      </c>
      <c r="P17" s="7">
        <v>43640</v>
      </c>
      <c r="Q17" s="12">
        <v>19.84525</v>
      </c>
      <c r="R17" s="12">
        <v>1.917</v>
      </c>
      <c r="S17" s="12">
        <v>17.928249999999998</v>
      </c>
      <c r="T17" s="8">
        <v>97</v>
      </c>
      <c r="U17" s="7">
        <v>43647</v>
      </c>
      <c r="V17" s="8">
        <v>9019599452</v>
      </c>
      <c r="W17" s="11" t="s">
        <v>58</v>
      </c>
      <c r="X17" s="8" t="s">
        <v>59</v>
      </c>
      <c r="Y17" s="11" t="s">
        <v>60</v>
      </c>
      <c r="Z17" s="8" t="s">
        <v>41</v>
      </c>
      <c r="AA17" s="11" t="s">
        <v>42</v>
      </c>
      <c r="AB17" s="12">
        <f t="shared" si="1"/>
        <v>0.1984525</v>
      </c>
    </row>
    <row r="18" spans="1:28" s="4" customFormat="1" ht="13" x14ac:dyDescent="0.3">
      <c r="A18" s="5">
        <v>1080</v>
      </c>
      <c r="B18" s="6" t="s">
        <v>72</v>
      </c>
      <c r="C18" s="7">
        <v>43658</v>
      </c>
      <c r="D18" s="8">
        <v>31</v>
      </c>
      <c r="E18" s="9" t="s">
        <v>37</v>
      </c>
      <c r="F18" s="8" t="s">
        <v>83</v>
      </c>
      <c r="G18" s="11" t="s">
        <v>84</v>
      </c>
      <c r="H18" s="8" t="str">
        <f>"000254"</f>
        <v>000254</v>
      </c>
      <c r="I18" s="7">
        <v>43446</v>
      </c>
      <c r="J18" s="8" t="str">
        <f>"000051"</f>
        <v>000051</v>
      </c>
      <c r="K18" s="7">
        <v>43593</v>
      </c>
      <c r="L18" s="8" t="str">
        <f>"000064"</f>
        <v>000064</v>
      </c>
      <c r="M18" s="7">
        <v>43595</v>
      </c>
      <c r="N18" s="8">
        <v>19</v>
      </c>
      <c r="O18" s="8" t="str">
        <f>"003303"</f>
        <v>003303</v>
      </c>
      <c r="P18" s="7">
        <v>43650</v>
      </c>
      <c r="Q18" s="12">
        <v>19.805720000000001</v>
      </c>
      <c r="R18" s="12">
        <v>2.0066999999999999</v>
      </c>
      <c r="S18" s="12">
        <v>17.799019999999999</v>
      </c>
      <c r="T18" s="8">
        <v>112</v>
      </c>
      <c r="U18" s="7">
        <v>43658</v>
      </c>
      <c r="V18" s="8">
        <v>9019599452</v>
      </c>
      <c r="W18" s="11" t="s">
        <v>58</v>
      </c>
      <c r="X18" s="8" t="s">
        <v>59</v>
      </c>
      <c r="Y18" s="11" t="s">
        <v>60</v>
      </c>
      <c r="Z18" s="8" t="s">
        <v>41</v>
      </c>
      <c r="AA18" s="11" t="s">
        <v>42</v>
      </c>
      <c r="AB18" s="12">
        <f t="shared" si="1"/>
        <v>0.19805720000000002</v>
      </c>
    </row>
    <row r="19" spans="1:28" s="4" customFormat="1" ht="13" x14ac:dyDescent="0.3">
      <c r="A19" s="5">
        <v>1081</v>
      </c>
      <c r="B19" s="6" t="s">
        <v>72</v>
      </c>
      <c r="C19" s="7">
        <v>43669</v>
      </c>
      <c r="D19" s="8">
        <v>31</v>
      </c>
      <c r="E19" s="9" t="s">
        <v>37</v>
      </c>
      <c r="F19" s="8" t="s">
        <v>85</v>
      </c>
      <c r="G19" s="11" t="s">
        <v>86</v>
      </c>
      <c r="H19" s="8" t="str">
        <f>"000034"</f>
        <v>000034</v>
      </c>
      <c r="I19" s="7">
        <v>42849</v>
      </c>
      <c r="J19" s="8" t="str">
        <f>"000057"</f>
        <v>000057</v>
      </c>
      <c r="K19" s="7">
        <v>43119</v>
      </c>
      <c r="L19" s="8" t="str">
        <f>"000150"</f>
        <v>000150</v>
      </c>
      <c r="M19" s="7">
        <v>43138</v>
      </c>
      <c r="N19" s="8">
        <v>17</v>
      </c>
      <c r="O19" s="8" t="str">
        <f>"003557"</f>
        <v>003557</v>
      </c>
      <c r="P19" s="7">
        <v>43663</v>
      </c>
      <c r="Q19" s="12">
        <v>5.0535800000000002</v>
      </c>
      <c r="R19" s="12">
        <v>0.35641</v>
      </c>
      <c r="S19" s="12">
        <v>4.6971699999999998</v>
      </c>
      <c r="T19" s="8">
        <v>122</v>
      </c>
      <c r="U19" s="7">
        <v>43669</v>
      </c>
      <c r="V19" s="8">
        <v>9035660123</v>
      </c>
      <c r="W19" s="11" t="s">
        <v>87</v>
      </c>
      <c r="X19" s="8" t="s">
        <v>32</v>
      </c>
      <c r="Y19" s="11" t="s">
        <v>33</v>
      </c>
      <c r="Z19" s="8" t="s">
        <v>41</v>
      </c>
      <c r="AA19" s="11" t="s">
        <v>42</v>
      </c>
      <c r="AB19" s="12">
        <f t="shared" si="1"/>
        <v>5.0535799999999999E-2</v>
      </c>
    </row>
    <row r="20" spans="1:28" s="4" customFormat="1" ht="13" x14ac:dyDescent="0.3">
      <c r="A20" s="5">
        <v>1082</v>
      </c>
      <c r="B20" s="6" t="s">
        <v>88</v>
      </c>
      <c r="C20" s="7">
        <v>43684</v>
      </c>
      <c r="D20" s="8">
        <v>31</v>
      </c>
      <c r="E20" s="9" t="s">
        <v>37</v>
      </c>
      <c r="F20" s="8" t="s">
        <v>89</v>
      </c>
      <c r="G20" s="11" t="s">
        <v>90</v>
      </c>
      <c r="H20" s="8" t="str">
        <f>"000043"</f>
        <v>000043</v>
      </c>
      <c r="I20" s="7">
        <v>42986</v>
      </c>
      <c r="J20" s="8" t="str">
        <f>"000025"</f>
        <v>000025</v>
      </c>
      <c r="K20" s="7">
        <v>43076</v>
      </c>
      <c r="L20" s="8" t="str">
        <f>"000057"</f>
        <v>000057</v>
      </c>
      <c r="M20" s="7">
        <v>43088</v>
      </c>
      <c r="N20" s="8">
        <v>17</v>
      </c>
      <c r="O20" s="8" t="str">
        <f>"004287"</f>
        <v>004287</v>
      </c>
      <c r="P20" s="7">
        <v>43680</v>
      </c>
      <c r="Q20" s="12">
        <v>5.54664</v>
      </c>
      <c r="R20" s="12">
        <v>0.22755</v>
      </c>
      <c r="S20" s="12">
        <v>5.3190900000000001</v>
      </c>
      <c r="T20" s="8">
        <v>144</v>
      </c>
      <c r="U20" s="7">
        <v>43684</v>
      </c>
      <c r="V20" s="8">
        <v>9341246488</v>
      </c>
      <c r="W20" s="11" t="s">
        <v>91</v>
      </c>
      <c r="X20" s="8" t="s">
        <v>32</v>
      </c>
      <c r="Y20" s="11" t="s">
        <v>33</v>
      </c>
      <c r="Z20" s="8" t="s">
        <v>41</v>
      </c>
      <c r="AA20" s="11" t="s">
        <v>42</v>
      </c>
      <c r="AB20" s="12">
        <f t="shared" si="1"/>
        <v>5.5466399999999999E-2</v>
      </c>
    </row>
    <row r="21" spans="1:28" s="4" customFormat="1" ht="13" x14ac:dyDescent="0.3">
      <c r="A21" s="5">
        <v>1083</v>
      </c>
      <c r="B21" s="6" t="s">
        <v>88</v>
      </c>
      <c r="C21" s="7">
        <v>43707</v>
      </c>
      <c r="D21" s="8">
        <v>31</v>
      </c>
      <c r="E21" s="9" t="s">
        <v>37</v>
      </c>
      <c r="F21" s="8" t="s">
        <v>92</v>
      </c>
      <c r="G21" s="11" t="s">
        <v>93</v>
      </c>
      <c r="H21" s="8" t="str">
        <f>"000006"</f>
        <v>000006</v>
      </c>
      <c r="I21" s="7">
        <v>43580</v>
      </c>
      <c r="J21" s="8" t="str">
        <f>"000011"</f>
        <v>000011</v>
      </c>
      <c r="K21" s="7">
        <v>43582</v>
      </c>
      <c r="L21" s="8" t="str">
        <f>"000049"</f>
        <v>000049</v>
      </c>
      <c r="M21" s="7">
        <v>43588</v>
      </c>
      <c r="N21" s="8">
        <v>18</v>
      </c>
      <c r="O21" s="8" t="str">
        <f>"004813"</f>
        <v>004813</v>
      </c>
      <c r="P21" s="7">
        <v>43704</v>
      </c>
      <c r="Q21" s="12">
        <v>5</v>
      </c>
      <c r="R21" s="12">
        <v>0</v>
      </c>
      <c r="S21" s="12">
        <v>5</v>
      </c>
      <c r="T21" s="8">
        <v>172</v>
      </c>
      <c r="U21" s="7">
        <v>43707</v>
      </c>
      <c r="V21" s="8">
        <v>9449656807</v>
      </c>
      <c r="W21" s="11" t="s">
        <v>94</v>
      </c>
      <c r="X21" s="8" t="s">
        <v>95</v>
      </c>
      <c r="Y21" s="11" t="s">
        <v>96</v>
      </c>
      <c r="Z21" s="8" t="s">
        <v>41</v>
      </c>
      <c r="AA21" s="11" t="s">
        <v>42</v>
      </c>
      <c r="AB21" s="12">
        <f t="shared" si="1"/>
        <v>0.05</v>
      </c>
    </row>
    <row r="22" spans="1:28" s="4" customFormat="1" ht="13" x14ac:dyDescent="0.3">
      <c r="A22" s="5">
        <v>1084</v>
      </c>
      <c r="B22" s="6" t="s">
        <v>88</v>
      </c>
      <c r="C22" s="7">
        <v>43707</v>
      </c>
      <c r="D22" s="8">
        <v>31</v>
      </c>
      <c r="E22" s="9" t="s">
        <v>37</v>
      </c>
      <c r="F22" s="8" t="s">
        <v>97</v>
      </c>
      <c r="G22" s="11" t="s">
        <v>98</v>
      </c>
      <c r="H22" s="8" t="str">
        <f>"000003"</f>
        <v>000003</v>
      </c>
      <c r="I22" s="7">
        <v>43580</v>
      </c>
      <c r="J22" s="8" t="str">
        <f>"000013"</f>
        <v>000013</v>
      </c>
      <c r="K22" s="7">
        <v>43582</v>
      </c>
      <c r="L22" s="8" t="str">
        <f>"000051"</f>
        <v>000051</v>
      </c>
      <c r="M22" s="7">
        <v>43588</v>
      </c>
      <c r="N22" s="8">
        <v>18</v>
      </c>
      <c r="O22" s="8" t="str">
        <f>"004814"</f>
        <v>004814</v>
      </c>
      <c r="P22" s="7">
        <v>43704</v>
      </c>
      <c r="Q22" s="12">
        <v>5</v>
      </c>
      <c r="R22" s="12">
        <v>0</v>
      </c>
      <c r="S22" s="12">
        <v>5</v>
      </c>
      <c r="T22" s="8">
        <v>172</v>
      </c>
      <c r="U22" s="7">
        <v>43707</v>
      </c>
      <c r="V22" s="8">
        <v>9449656807</v>
      </c>
      <c r="W22" s="11" t="s">
        <v>94</v>
      </c>
      <c r="X22" s="8" t="s">
        <v>95</v>
      </c>
      <c r="Y22" s="11" t="s">
        <v>96</v>
      </c>
      <c r="Z22" s="8" t="s">
        <v>41</v>
      </c>
      <c r="AA22" s="11" t="s">
        <v>42</v>
      </c>
      <c r="AB22" s="12">
        <f t="shared" si="1"/>
        <v>0.05</v>
      </c>
    </row>
    <row r="23" spans="1:28" s="4" customFormat="1" ht="13" x14ac:dyDescent="0.3">
      <c r="A23" s="5">
        <v>1085</v>
      </c>
      <c r="B23" s="6" t="s">
        <v>88</v>
      </c>
      <c r="C23" s="7">
        <v>43707</v>
      </c>
      <c r="D23" s="8">
        <v>31</v>
      </c>
      <c r="E23" s="9" t="s">
        <v>37</v>
      </c>
      <c r="F23" s="8" t="s">
        <v>99</v>
      </c>
      <c r="G23" s="11" t="s">
        <v>100</v>
      </c>
      <c r="H23" s="8" t="str">
        <f>"000010"</f>
        <v>000010</v>
      </c>
      <c r="I23" s="7">
        <v>43580</v>
      </c>
      <c r="J23" s="8" t="str">
        <f>"000014"</f>
        <v>000014</v>
      </c>
      <c r="K23" s="7">
        <v>43582</v>
      </c>
      <c r="L23" s="8" t="str">
        <f>"000052"</f>
        <v>000052</v>
      </c>
      <c r="M23" s="7">
        <v>43588</v>
      </c>
      <c r="N23" s="8">
        <v>18</v>
      </c>
      <c r="O23" s="8" t="str">
        <f>"004815"</f>
        <v>004815</v>
      </c>
      <c r="P23" s="7">
        <v>43704</v>
      </c>
      <c r="Q23" s="12">
        <v>5</v>
      </c>
      <c r="R23" s="12">
        <v>0</v>
      </c>
      <c r="S23" s="12">
        <v>5</v>
      </c>
      <c r="T23" s="8">
        <v>172</v>
      </c>
      <c r="U23" s="7">
        <v>43707</v>
      </c>
      <c r="V23" s="8">
        <v>9449656807</v>
      </c>
      <c r="W23" s="11" t="s">
        <v>94</v>
      </c>
      <c r="X23" s="8" t="s">
        <v>95</v>
      </c>
      <c r="Y23" s="11" t="s">
        <v>96</v>
      </c>
      <c r="Z23" s="8" t="s">
        <v>41</v>
      </c>
      <c r="AA23" s="11" t="s">
        <v>42</v>
      </c>
      <c r="AB23" s="12">
        <f t="shared" si="1"/>
        <v>0.05</v>
      </c>
    </row>
    <row r="24" spans="1:28" s="4" customFormat="1" ht="13" x14ac:dyDescent="0.3">
      <c r="A24" s="5">
        <v>1086</v>
      </c>
      <c r="B24" s="6" t="s">
        <v>88</v>
      </c>
      <c r="C24" s="7">
        <v>43707</v>
      </c>
      <c r="D24" s="8">
        <v>31</v>
      </c>
      <c r="E24" s="9" t="s">
        <v>37</v>
      </c>
      <c r="F24" s="8" t="s">
        <v>101</v>
      </c>
      <c r="G24" s="11" t="s">
        <v>102</v>
      </c>
      <c r="H24" s="8" t="str">
        <f>"000012"</f>
        <v>000012</v>
      </c>
      <c r="I24" s="7">
        <v>43580</v>
      </c>
      <c r="J24" s="8" t="str">
        <f>"000015"</f>
        <v>000015</v>
      </c>
      <c r="K24" s="7">
        <v>43582</v>
      </c>
      <c r="L24" s="8" t="str">
        <f>"000053"</f>
        <v>000053</v>
      </c>
      <c r="M24" s="7">
        <v>43588</v>
      </c>
      <c r="N24" s="8">
        <v>18</v>
      </c>
      <c r="O24" s="8" t="str">
        <f>"004816"</f>
        <v>004816</v>
      </c>
      <c r="P24" s="7">
        <v>43704</v>
      </c>
      <c r="Q24" s="12">
        <v>6</v>
      </c>
      <c r="R24" s="12">
        <v>0</v>
      </c>
      <c r="S24" s="12">
        <v>6</v>
      </c>
      <c r="T24" s="8">
        <v>172</v>
      </c>
      <c r="U24" s="7">
        <v>43707</v>
      </c>
      <c r="V24" s="8">
        <v>9449656807</v>
      </c>
      <c r="W24" s="11" t="s">
        <v>94</v>
      </c>
      <c r="X24" s="8" t="s">
        <v>95</v>
      </c>
      <c r="Y24" s="11" t="s">
        <v>96</v>
      </c>
      <c r="Z24" s="8" t="s">
        <v>41</v>
      </c>
      <c r="AA24" s="11" t="s">
        <v>42</v>
      </c>
      <c r="AB24" s="12">
        <f t="shared" si="1"/>
        <v>0.06</v>
      </c>
    </row>
    <row r="25" spans="1:28" s="4" customFormat="1" ht="13" x14ac:dyDescent="0.3">
      <c r="A25" s="5">
        <v>1087</v>
      </c>
      <c r="B25" s="6" t="s">
        <v>88</v>
      </c>
      <c r="C25" s="7">
        <v>43707</v>
      </c>
      <c r="D25" s="8">
        <v>31</v>
      </c>
      <c r="E25" s="9" t="s">
        <v>37</v>
      </c>
      <c r="F25" s="8" t="s">
        <v>103</v>
      </c>
      <c r="G25" s="11" t="s">
        <v>104</v>
      </c>
      <c r="H25" s="8" t="str">
        <f>"000009"</f>
        <v>000009</v>
      </c>
      <c r="I25" s="7">
        <v>43580</v>
      </c>
      <c r="J25" s="8" t="str">
        <f>"000016"</f>
        <v>000016</v>
      </c>
      <c r="K25" s="7">
        <v>43582</v>
      </c>
      <c r="L25" s="8" t="str">
        <f>"000054"</f>
        <v>000054</v>
      </c>
      <c r="M25" s="7">
        <v>43588</v>
      </c>
      <c r="N25" s="8">
        <v>18</v>
      </c>
      <c r="O25" s="8" t="str">
        <f>"004818"</f>
        <v>004818</v>
      </c>
      <c r="P25" s="7">
        <v>43704</v>
      </c>
      <c r="Q25" s="12">
        <v>5</v>
      </c>
      <c r="R25" s="12">
        <v>0</v>
      </c>
      <c r="S25" s="12">
        <v>5</v>
      </c>
      <c r="T25" s="8">
        <v>172</v>
      </c>
      <c r="U25" s="7">
        <v>43707</v>
      </c>
      <c r="V25" s="8">
        <v>9449656807</v>
      </c>
      <c r="W25" s="11" t="s">
        <v>94</v>
      </c>
      <c r="X25" s="8" t="s">
        <v>95</v>
      </c>
      <c r="Y25" s="11" t="s">
        <v>96</v>
      </c>
      <c r="Z25" s="8" t="s">
        <v>41</v>
      </c>
      <c r="AA25" s="11" t="s">
        <v>42</v>
      </c>
      <c r="AB25" s="12">
        <f t="shared" si="1"/>
        <v>0.05</v>
      </c>
    </row>
    <row r="26" spans="1:28" s="4" customFormat="1" ht="13" x14ac:dyDescent="0.3">
      <c r="A26" s="5">
        <v>1088</v>
      </c>
      <c r="B26" s="6" t="s">
        <v>88</v>
      </c>
      <c r="C26" s="7">
        <v>43707</v>
      </c>
      <c r="D26" s="8">
        <v>31</v>
      </c>
      <c r="E26" s="9" t="s">
        <v>37</v>
      </c>
      <c r="F26" s="8" t="s">
        <v>105</v>
      </c>
      <c r="G26" s="11" t="s">
        <v>106</v>
      </c>
      <c r="H26" s="8" t="str">
        <f>"000007"</f>
        <v>000007</v>
      </c>
      <c r="I26" s="7">
        <v>43580</v>
      </c>
      <c r="J26" s="8" t="str">
        <f>"000017"</f>
        <v>000017</v>
      </c>
      <c r="K26" s="7">
        <v>43582</v>
      </c>
      <c r="L26" s="8" t="str">
        <f>"000055"</f>
        <v>000055</v>
      </c>
      <c r="M26" s="7">
        <v>43588</v>
      </c>
      <c r="N26" s="8">
        <v>18</v>
      </c>
      <c r="O26" s="8" t="str">
        <f>"004820"</f>
        <v>004820</v>
      </c>
      <c r="P26" s="7">
        <v>43704</v>
      </c>
      <c r="Q26" s="12">
        <v>5</v>
      </c>
      <c r="R26" s="12">
        <v>0</v>
      </c>
      <c r="S26" s="12">
        <v>5</v>
      </c>
      <c r="T26" s="8">
        <v>172</v>
      </c>
      <c r="U26" s="7">
        <v>43707</v>
      </c>
      <c r="V26" s="8">
        <v>9449656807</v>
      </c>
      <c r="W26" s="11" t="s">
        <v>94</v>
      </c>
      <c r="X26" s="8" t="s">
        <v>95</v>
      </c>
      <c r="Y26" s="11" t="s">
        <v>96</v>
      </c>
      <c r="Z26" s="8" t="s">
        <v>41</v>
      </c>
      <c r="AA26" s="11" t="s">
        <v>42</v>
      </c>
      <c r="AB26" s="12">
        <f t="shared" si="1"/>
        <v>0.05</v>
      </c>
    </row>
    <row r="27" spans="1:28" s="4" customFormat="1" ht="13" x14ac:dyDescent="0.3">
      <c r="A27" s="5">
        <v>1089</v>
      </c>
      <c r="B27" s="6" t="s">
        <v>88</v>
      </c>
      <c r="C27" s="7">
        <v>43707</v>
      </c>
      <c r="D27" s="8">
        <v>31</v>
      </c>
      <c r="E27" s="9" t="s">
        <v>37</v>
      </c>
      <c r="F27" s="8" t="s">
        <v>107</v>
      </c>
      <c r="G27" s="11" t="s">
        <v>108</v>
      </c>
      <c r="H27" s="8" t="str">
        <f>"000005"</f>
        <v>000005</v>
      </c>
      <c r="I27" s="7">
        <v>43580</v>
      </c>
      <c r="J27" s="8" t="str">
        <f>"000022"</f>
        <v>000022</v>
      </c>
      <c r="K27" s="7">
        <v>43582</v>
      </c>
      <c r="L27" s="8" t="str">
        <f>"000060"</f>
        <v>000060</v>
      </c>
      <c r="M27" s="7">
        <v>43588</v>
      </c>
      <c r="N27" s="8">
        <v>18</v>
      </c>
      <c r="O27" s="8" t="str">
        <f>"004821"</f>
        <v>004821</v>
      </c>
      <c r="P27" s="7">
        <v>43704</v>
      </c>
      <c r="Q27" s="12">
        <v>5</v>
      </c>
      <c r="R27" s="12">
        <v>0</v>
      </c>
      <c r="S27" s="12">
        <v>5</v>
      </c>
      <c r="T27" s="8">
        <v>172</v>
      </c>
      <c r="U27" s="7">
        <v>43707</v>
      </c>
      <c r="V27" s="8">
        <v>9449656807</v>
      </c>
      <c r="W27" s="11" t="s">
        <v>94</v>
      </c>
      <c r="X27" s="8" t="s">
        <v>95</v>
      </c>
      <c r="Y27" s="11" t="s">
        <v>96</v>
      </c>
      <c r="Z27" s="8" t="s">
        <v>41</v>
      </c>
      <c r="AA27" s="11" t="s">
        <v>42</v>
      </c>
      <c r="AB27" s="12">
        <f t="shared" si="1"/>
        <v>0.05</v>
      </c>
    </row>
    <row r="28" spans="1:28" s="4" customFormat="1" ht="13" x14ac:dyDescent="0.3">
      <c r="A28" s="5">
        <v>1090</v>
      </c>
      <c r="B28" s="6" t="s">
        <v>88</v>
      </c>
      <c r="C28" s="7">
        <v>43707</v>
      </c>
      <c r="D28" s="8">
        <v>31</v>
      </c>
      <c r="E28" s="9" t="s">
        <v>37</v>
      </c>
      <c r="F28" s="8" t="s">
        <v>109</v>
      </c>
      <c r="G28" s="11" t="s">
        <v>110</v>
      </c>
      <c r="H28" s="8" t="str">
        <f>"000001"</f>
        <v>000001</v>
      </c>
      <c r="I28" s="7">
        <v>43580</v>
      </c>
      <c r="J28" s="8" t="str">
        <f>"000023"</f>
        <v>000023</v>
      </c>
      <c r="K28" s="7">
        <v>43582</v>
      </c>
      <c r="L28" s="8" t="str">
        <f>"000061"</f>
        <v>000061</v>
      </c>
      <c r="M28" s="7">
        <v>43588</v>
      </c>
      <c r="N28" s="8">
        <v>18</v>
      </c>
      <c r="O28" s="8" t="str">
        <f>"004823"</f>
        <v>004823</v>
      </c>
      <c r="P28" s="7">
        <v>43704</v>
      </c>
      <c r="Q28" s="12">
        <v>26</v>
      </c>
      <c r="R28" s="12">
        <v>0</v>
      </c>
      <c r="S28" s="12">
        <v>26</v>
      </c>
      <c r="T28" s="8">
        <v>172</v>
      </c>
      <c r="U28" s="7">
        <v>43707</v>
      </c>
      <c r="V28" s="8">
        <v>9449656807</v>
      </c>
      <c r="W28" s="11" t="s">
        <v>94</v>
      </c>
      <c r="X28" s="8" t="s">
        <v>95</v>
      </c>
      <c r="Y28" s="11" t="s">
        <v>96</v>
      </c>
      <c r="Z28" s="8" t="s">
        <v>41</v>
      </c>
      <c r="AA28" s="11" t="s">
        <v>42</v>
      </c>
      <c r="AB28" s="12">
        <f t="shared" si="1"/>
        <v>0.26</v>
      </c>
    </row>
    <row r="29" spans="1:28" s="4" customFormat="1" ht="13" x14ac:dyDescent="0.3">
      <c r="A29" s="5">
        <v>1091</v>
      </c>
      <c r="B29" s="6" t="s">
        <v>88</v>
      </c>
      <c r="C29" s="7">
        <v>43707</v>
      </c>
      <c r="D29" s="8">
        <v>31</v>
      </c>
      <c r="E29" s="9" t="s">
        <v>37</v>
      </c>
      <c r="F29" s="8" t="s">
        <v>111</v>
      </c>
      <c r="G29" s="11" t="s">
        <v>112</v>
      </c>
      <c r="H29" s="8" t="str">
        <f>"000014"</f>
        <v>000014</v>
      </c>
      <c r="I29" s="7">
        <v>43580</v>
      </c>
      <c r="J29" s="8" t="str">
        <f>"000021"</f>
        <v>000021</v>
      </c>
      <c r="K29" s="7">
        <v>43582</v>
      </c>
      <c r="L29" s="8" t="str">
        <f>"000059"</f>
        <v>000059</v>
      </c>
      <c r="M29" s="7">
        <v>43588</v>
      </c>
      <c r="N29" s="8">
        <v>18</v>
      </c>
      <c r="O29" s="8" t="str">
        <f>"004824"</f>
        <v>004824</v>
      </c>
      <c r="P29" s="7">
        <v>43705</v>
      </c>
      <c r="Q29" s="12">
        <v>5</v>
      </c>
      <c r="R29" s="12">
        <v>0</v>
      </c>
      <c r="S29" s="12">
        <v>5</v>
      </c>
      <c r="T29" s="8">
        <v>172</v>
      </c>
      <c r="U29" s="7">
        <v>43707</v>
      </c>
      <c r="V29" s="8">
        <v>9449656807</v>
      </c>
      <c r="W29" s="11" t="s">
        <v>94</v>
      </c>
      <c r="X29" s="8" t="s">
        <v>95</v>
      </c>
      <c r="Y29" s="11" t="s">
        <v>96</v>
      </c>
      <c r="Z29" s="8" t="s">
        <v>41</v>
      </c>
      <c r="AA29" s="11" t="s">
        <v>42</v>
      </c>
      <c r="AB29" s="12">
        <f t="shared" si="1"/>
        <v>0.05</v>
      </c>
    </row>
    <row r="30" spans="1:28" s="4" customFormat="1" ht="13" x14ac:dyDescent="0.3">
      <c r="A30" s="5">
        <v>1092</v>
      </c>
      <c r="B30" s="6" t="s">
        <v>88</v>
      </c>
      <c r="C30" s="7">
        <v>43707</v>
      </c>
      <c r="D30" s="8">
        <v>31</v>
      </c>
      <c r="E30" s="9" t="s">
        <v>37</v>
      </c>
      <c r="F30" s="8" t="s">
        <v>113</v>
      </c>
      <c r="G30" s="11" t="s">
        <v>114</v>
      </c>
      <c r="H30" s="8" t="str">
        <f>"000011"</f>
        <v>000011</v>
      </c>
      <c r="I30" s="7">
        <v>43580</v>
      </c>
      <c r="J30" s="8" t="str">
        <f>"000018"</f>
        <v>000018</v>
      </c>
      <c r="K30" s="7">
        <v>43582</v>
      </c>
      <c r="L30" s="8" t="str">
        <f>"000056"</f>
        <v>000056</v>
      </c>
      <c r="M30" s="7">
        <v>43588</v>
      </c>
      <c r="N30" s="8">
        <v>18</v>
      </c>
      <c r="O30" s="8" t="str">
        <f>"004825"</f>
        <v>004825</v>
      </c>
      <c r="P30" s="7">
        <v>43705</v>
      </c>
      <c r="Q30" s="12">
        <v>5</v>
      </c>
      <c r="R30" s="12">
        <v>0</v>
      </c>
      <c r="S30" s="12">
        <v>5</v>
      </c>
      <c r="T30" s="8">
        <v>172</v>
      </c>
      <c r="U30" s="7">
        <v>43707</v>
      </c>
      <c r="V30" s="8">
        <v>9449656807</v>
      </c>
      <c r="W30" s="11" t="s">
        <v>94</v>
      </c>
      <c r="X30" s="8" t="s">
        <v>95</v>
      </c>
      <c r="Y30" s="11" t="s">
        <v>96</v>
      </c>
      <c r="Z30" s="8" t="s">
        <v>41</v>
      </c>
      <c r="AA30" s="11" t="s">
        <v>42</v>
      </c>
      <c r="AB30" s="12">
        <f t="shared" si="1"/>
        <v>0.05</v>
      </c>
    </row>
    <row r="31" spans="1:28" s="4" customFormat="1" ht="13" x14ac:dyDescent="0.3">
      <c r="A31" s="5">
        <v>1093</v>
      </c>
      <c r="B31" s="6" t="s">
        <v>88</v>
      </c>
      <c r="C31" s="7">
        <v>43707</v>
      </c>
      <c r="D31" s="8">
        <v>31</v>
      </c>
      <c r="E31" s="9" t="s">
        <v>37</v>
      </c>
      <c r="F31" s="8" t="s">
        <v>115</v>
      </c>
      <c r="G31" s="11" t="s">
        <v>116</v>
      </c>
      <c r="H31" s="8" t="str">
        <f>"000013"</f>
        <v>000013</v>
      </c>
      <c r="I31" s="7">
        <v>43580</v>
      </c>
      <c r="J31" s="8" t="str">
        <f>"000019"</f>
        <v>000019</v>
      </c>
      <c r="K31" s="7">
        <v>43582</v>
      </c>
      <c r="L31" s="8" t="str">
        <f>"000057"</f>
        <v>000057</v>
      </c>
      <c r="M31" s="7">
        <v>43588</v>
      </c>
      <c r="N31" s="8">
        <v>18</v>
      </c>
      <c r="O31" s="8" t="str">
        <f>"004826"</f>
        <v>004826</v>
      </c>
      <c r="P31" s="7">
        <v>43705</v>
      </c>
      <c r="Q31" s="12">
        <v>10</v>
      </c>
      <c r="R31" s="12">
        <v>0</v>
      </c>
      <c r="S31" s="12">
        <v>10</v>
      </c>
      <c r="T31" s="8">
        <v>172</v>
      </c>
      <c r="U31" s="7">
        <v>43707</v>
      </c>
      <c r="V31" s="8">
        <v>9449656807</v>
      </c>
      <c r="W31" s="11" t="s">
        <v>94</v>
      </c>
      <c r="X31" s="8" t="s">
        <v>95</v>
      </c>
      <c r="Y31" s="11" t="s">
        <v>96</v>
      </c>
      <c r="Z31" s="8" t="s">
        <v>41</v>
      </c>
      <c r="AA31" s="11" t="s">
        <v>42</v>
      </c>
      <c r="AB31" s="12">
        <f t="shared" si="1"/>
        <v>0.1</v>
      </c>
    </row>
    <row r="32" spans="1:28" s="4" customFormat="1" ht="13" x14ac:dyDescent="0.3">
      <c r="A32" s="5">
        <v>1094</v>
      </c>
      <c r="B32" s="6" t="s">
        <v>88</v>
      </c>
      <c r="C32" s="7">
        <v>43707</v>
      </c>
      <c r="D32" s="8">
        <v>31</v>
      </c>
      <c r="E32" s="9" t="s">
        <v>37</v>
      </c>
      <c r="F32" s="8" t="s">
        <v>117</v>
      </c>
      <c r="G32" s="11" t="s">
        <v>118</v>
      </c>
      <c r="H32" s="8" t="str">
        <f>"000008"</f>
        <v>000008</v>
      </c>
      <c r="I32" s="7">
        <v>43580</v>
      </c>
      <c r="J32" s="8" t="str">
        <f>"000020"</f>
        <v>000020</v>
      </c>
      <c r="K32" s="7">
        <v>43582</v>
      </c>
      <c r="L32" s="8" t="str">
        <f>"000058"</f>
        <v>000058</v>
      </c>
      <c r="M32" s="7">
        <v>43588</v>
      </c>
      <c r="N32" s="8">
        <v>18</v>
      </c>
      <c r="O32" s="8" t="str">
        <f>"004827"</f>
        <v>004827</v>
      </c>
      <c r="P32" s="7">
        <v>43705</v>
      </c>
      <c r="Q32" s="12">
        <v>5</v>
      </c>
      <c r="R32" s="12">
        <v>0</v>
      </c>
      <c r="S32" s="12">
        <v>5</v>
      </c>
      <c r="T32" s="8">
        <v>172</v>
      </c>
      <c r="U32" s="7">
        <v>43707</v>
      </c>
      <c r="V32" s="8">
        <v>9449656807</v>
      </c>
      <c r="W32" s="11" t="s">
        <v>94</v>
      </c>
      <c r="X32" s="8" t="s">
        <v>95</v>
      </c>
      <c r="Y32" s="11" t="s">
        <v>96</v>
      </c>
      <c r="Z32" s="8" t="s">
        <v>41</v>
      </c>
      <c r="AA32" s="11" t="s">
        <v>42</v>
      </c>
      <c r="AB32" s="12">
        <f t="shared" si="1"/>
        <v>0.05</v>
      </c>
    </row>
    <row r="33" spans="1:28" s="4" customFormat="1" ht="13" x14ac:dyDescent="0.3">
      <c r="A33" s="5">
        <v>1095</v>
      </c>
      <c r="B33" s="6" t="s">
        <v>119</v>
      </c>
      <c r="C33" s="7">
        <v>43714</v>
      </c>
      <c r="D33" s="8">
        <v>31</v>
      </c>
      <c r="E33" s="9" t="s">
        <v>37</v>
      </c>
      <c r="F33" s="8" t="s">
        <v>120</v>
      </c>
      <c r="G33" s="11" t="s">
        <v>121</v>
      </c>
      <c r="H33" s="8" t="str">
        <f>"000002"</f>
        <v>000002</v>
      </c>
      <c r="I33" s="7">
        <v>43580</v>
      </c>
      <c r="J33" s="8" t="str">
        <f>"000010"</f>
        <v>000010</v>
      </c>
      <c r="K33" s="7">
        <v>43582</v>
      </c>
      <c r="L33" s="8" t="str">
        <f>"000048"</f>
        <v>000048</v>
      </c>
      <c r="M33" s="7">
        <v>43588</v>
      </c>
      <c r="N33" s="8">
        <v>18</v>
      </c>
      <c r="O33" s="8" t="str">
        <f>"004831"</f>
        <v>004831</v>
      </c>
      <c r="P33" s="7">
        <v>43705</v>
      </c>
      <c r="Q33" s="12">
        <v>8</v>
      </c>
      <c r="R33" s="12">
        <v>0</v>
      </c>
      <c r="S33" s="12">
        <v>8</v>
      </c>
      <c r="T33" s="8">
        <v>176</v>
      </c>
      <c r="U33" s="7">
        <v>43714</v>
      </c>
      <c r="V33" s="8">
        <v>9449656807</v>
      </c>
      <c r="W33" s="11" t="s">
        <v>94</v>
      </c>
      <c r="X33" s="8" t="s">
        <v>95</v>
      </c>
      <c r="Y33" s="11" t="s">
        <v>96</v>
      </c>
      <c r="Z33" s="8" t="s">
        <v>41</v>
      </c>
      <c r="AA33" s="11" t="s">
        <v>42</v>
      </c>
      <c r="AB33" s="12">
        <f t="shared" si="1"/>
        <v>0.08</v>
      </c>
    </row>
    <row r="34" spans="1:28" s="4" customFormat="1" ht="13" x14ac:dyDescent="0.3">
      <c r="A34" s="5">
        <v>1096</v>
      </c>
      <c r="B34" s="6" t="s">
        <v>119</v>
      </c>
      <c r="C34" s="7">
        <v>43714</v>
      </c>
      <c r="D34" s="8">
        <v>31</v>
      </c>
      <c r="E34" s="9" t="s">
        <v>37</v>
      </c>
      <c r="F34" s="8" t="s">
        <v>122</v>
      </c>
      <c r="G34" s="11" t="s">
        <v>123</v>
      </c>
      <c r="H34" s="8" t="str">
        <f>"000004"</f>
        <v>000004</v>
      </c>
      <c r="I34" s="7">
        <v>43580</v>
      </c>
      <c r="J34" s="8" t="str">
        <f>"000012"</f>
        <v>000012</v>
      </c>
      <c r="K34" s="7">
        <v>43582</v>
      </c>
      <c r="L34" s="8" t="str">
        <f>"000050"</f>
        <v>000050</v>
      </c>
      <c r="M34" s="7">
        <v>43588</v>
      </c>
      <c r="N34" s="8">
        <v>18</v>
      </c>
      <c r="O34" s="8" t="str">
        <f>"004855"</f>
        <v>004855</v>
      </c>
      <c r="P34" s="7">
        <v>43706</v>
      </c>
      <c r="Q34" s="12">
        <v>5</v>
      </c>
      <c r="R34" s="12">
        <v>0</v>
      </c>
      <c r="S34" s="12">
        <v>5</v>
      </c>
      <c r="T34" s="8">
        <v>176</v>
      </c>
      <c r="U34" s="7">
        <v>43714</v>
      </c>
      <c r="V34" s="8">
        <v>9449656807</v>
      </c>
      <c r="W34" s="11" t="s">
        <v>94</v>
      </c>
      <c r="X34" s="8" t="s">
        <v>95</v>
      </c>
      <c r="Y34" s="11" t="s">
        <v>96</v>
      </c>
      <c r="Z34" s="8" t="s">
        <v>41</v>
      </c>
      <c r="AA34" s="11" t="s">
        <v>42</v>
      </c>
      <c r="AB34" s="12">
        <f t="shared" si="1"/>
        <v>0.05</v>
      </c>
    </row>
    <row r="35" spans="1:28" s="4" customFormat="1" ht="13" x14ac:dyDescent="0.3">
      <c r="A35" s="5">
        <v>1097</v>
      </c>
      <c r="B35" s="6" t="s">
        <v>124</v>
      </c>
      <c r="C35" s="7">
        <v>43768</v>
      </c>
      <c r="D35" s="5">
        <v>31</v>
      </c>
      <c r="E35" s="9" t="s">
        <v>37</v>
      </c>
      <c r="F35" s="8" t="s">
        <v>125</v>
      </c>
      <c r="G35" s="9" t="s">
        <v>126</v>
      </c>
      <c r="H35" s="8" t="str">
        <f>"000335"</f>
        <v>000335</v>
      </c>
      <c r="I35" s="7">
        <v>43530</v>
      </c>
      <c r="J35" s="8" t="str">
        <f>"000128"</f>
        <v>000128</v>
      </c>
      <c r="K35" s="7">
        <v>43727</v>
      </c>
      <c r="L35" s="8" t="str">
        <f>"000167"</f>
        <v>000167</v>
      </c>
      <c r="M35" s="7">
        <v>43738</v>
      </c>
      <c r="N35" s="8">
        <v>18</v>
      </c>
      <c r="O35" s="8" t="str">
        <f>"005993"</f>
        <v>005993</v>
      </c>
      <c r="P35" s="7">
        <v>43763</v>
      </c>
      <c r="Q35" s="10">
        <v>19.980499999999999</v>
      </c>
      <c r="R35" s="10">
        <v>2.1549100000000001</v>
      </c>
      <c r="S35" s="10">
        <v>17.825589999999998</v>
      </c>
      <c r="T35" s="8">
        <v>13</v>
      </c>
      <c r="U35" s="7">
        <v>43768</v>
      </c>
      <c r="V35" s="8">
        <v>9449656807</v>
      </c>
      <c r="W35" s="9" t="s">
        <v>58</v>
      </c>
      <c r="X35" s="8" t="s">
        <v>127</v>
      </c>
      <c r="Y35" s="9" t="s">
        <v>128</v>
      </c>
      <c r="Z35" s="8" t="s">
        <v>41</v>
      </c>
      <c r="AA35" s="9" t="s">
        <v>42</v>
      </c>
      <c r="AB35" s="10">
        <v>0.19980499999999998</v>
      </c>
    </row>
    <row r="36" spans="1:28" s="4" customFormat="1" ht="13" x14ac:dyDescent="0.3">
      <c r="A36" s="5">
        <v>1098</v>
      </c>
      <c r="B36" s="6" t="s">
        <v>124</v>
      </c>
      <c r="C36" s="7">
        <v>43768</v>
      </c>
      <c r="D36" s="5">
        <v>31</v>
      </c>
      <c r="E36" s="9" t="s">
        <v>37</v>
      </c>
      <c r="F36" s="8" t="s">
        <v>129</v>
      </c>
      <c r="G36" s="9" t="s">
        <v>130</v>
      </c>
      <c r="H36" s="8" t="str">
        <f>"000333"</f>
        <v>000333</v>
      </c>
      <c r="I36" s="7">
        <v>43530</v>
      </c>
      <c r="J36" s="8" t="str">
        <f>"000130"</f>
        <v>000130</v>
      </c>
      <c r="K36" s="7">
        <v>43728</v>
      </c>
      <c r="L36" s="8" t="str">
        <f>"000168"</f>
        <v>000168</v>
      </c>
      <c r="M36" s="7">
        <v>43738</v>
      </c>
      <c r="N36" s="8">
        <v>18</v>
      </c>
      <c r="O36" s="8" t="str">
        <f>"005994"</f>
        <v>005994</v>
      </c>
      <c r="P36" s="7">
        <v>43763</v>
      </c>
      <c r="Q36" s="10">
        <v>14.924569999999999</v>
      </c>
      <c r="R36" s="10">
        <v>1.5798300000000001</v>
      </c>
      <c r="S36" s="10">
        <v>13.34474</v>
      </c>
      <c r="T36" s="8">
        <v>13</v>
      </c>
      <c r="U36" s="7">
        <v>43768</v>
      </c>
      <c r="V36" s="8">
        <v>9449656807</v>
      </c>
      <c r="W36" s="9" t="s">
        <v>58</v>
      </c>
      <c r="X36" s="8" t="s">
        <v>131</v>
      </c>
      <c r="Y36" s="9" t="s">
        <v>132</v>
      </c>
      <c r="Z36" s="8" t="s">
        <v>41</v>
      </c>
      <c r="AA36" s="9" t="s">
        <v>42</v>
      </c>
      <c r="AB36" s="10">
        <v>0.14924569999999998</v>
      </c>
    </row>
    <row r="37" spans="1:28" s="4" customFormat="1" ht="13" x14ac:dyDescent="0.3">
      <c r="A37" s="5">
        <v>1099</v>
      </c>
      <c r="B37" s="6" t="s">
        <v>133</v>
      </c>
      <c r="C37" s="7">
        <v>43777</v>
      </c>
      <c r="D37" s="5">
        <v>31</v>
      </c>
      <c r="E37" s="9" t="s">
        <v>37</v>
      </c>
      <c r="F37" s="8" t="s">
        <v>53</v>
      </c>
      <c r="G37" s="9" t="s">
        <v>54</v>
      </c>
      <c r="H37" s="8" t="str">
        <f>"000127"</f>
        <v>000127</v>
      </c>
      <c r="I37" s="7">
        <v>43152</v>
      </c>
      <c r="J37" s="8" t="str">
        <f>"000115"</f>
        <v>000115</v>
      </c>
      <c r="K37" s="7">
        <v>43757</v>
      </c>
      <c r="L37" s="8" t="str">
        <f>"000115"</f>
        <v>000115</v>
      </c>
      <c r="M37" s="7">
        <v>43757</v>
      </c>
      <c r="N37" s="8">
        <v>16</v>
      </c>
      <c r="O37" s="8" t="str">
        <f>"006114"</f>
        <v>006114</v>
      </c>
      <c r="P37" s="7">
        <v>43776</v>
      </c>
      <c r="Q37" s="10">
        <v>12.59254</v>
      </c>
      <c r="R37" s="10">
        <v>1.7699800000000001</v>
      </c>
      <c r="S37" s="10">
        <v>10.822559999999999</v>
      </c>
      <c r="T37" s="8">
        <v>13</v>
      </c>
      <c r="U37" s="7">
        <v>43777</v>
      </c>
      <c r="V37" s="8">
        <v>9901967054</v>
      </c>
      <c r="W37" s="9" t="s">
        <v>55</v>
      </c>
      <c r="X37" s="8" t="s">
        <v>29</v>
      </c>
      <c r="Y37" s="9" t="s">
        <v>30</v>
      </c>
      <c r="Z37" s="8" t="s">
        <v>35</v>
      </c>
      <c r="AA37" s="9" t="s">
        <v>36</v>
      </c>
      <c r="AB37" s="10">
        <v>0.12592539999999999</v>
      </c>
    </row>
    <row r="38" spans="1:28" s="4" customFormat="1" ht="13" x14ac:dyDescent="0.3">
      <c r="A38" s="5">
        <v>1100</v>
      </c>
      <c r="B38" s="6" t="s">
        <v>134</v>
      </c>
      <c r="C38" s="7">
        <v>43816</v>
      </c>
      <c r="D38" s="5">
        <v>31</v>
      </c>
      <c r="E38" s="9" t="s">
        <v>37</v>
      </c>
      <c r="F38" s="8" t="s">
        <v>135</v>
      </c>
      <c r="G38" s="9" t="s">
        <v>136</v>
      </c>
      <c r="H38" s="8" t="str">
        <f>"000294"</f>
        <v>000294</v>
      </c>
      <c r="I38" s="7">
        <v>43496</v>
      </c>
      <c r="J38" s="8" t="str">
        <f>"000132"</f>
        <v>000132</v>
      </c>
      <c r="K38" s="7">
        <v>43734</v>
      </c>
      <c r="L38" s="8" t="str">
        <f>"000165"</f>
        <v>000165</v>
      </c>
      <c r="M38" s="7">
        <v>43738</v>
      </c>
      <c r="N38" s="8">
        <v>19</v>
      </c>
      <c r="O38" s="8" t="str">
        <f>"006725"</f>
        <v>006725</v>
      </c>
      <c r="P38" s="7">
        <v>43810</v>
      </c>
      <c r="Q38" s="10">
        <v>4.5869200000000001</v>
      </c>
      <c r="R38" s="10">
        <v>0.46022000000000002</v>
      </c>
      <c r="S38" s="10">
        <v>4.1266999999999996</v>
      </c>
      <c r="T38" s="8">
        <v>13</v>
      </c>
      <c r="U38" s="7">
        <v>43816</v>
      </c>
      <c r="V38" s="8">
        <v>9019599452</v>
      </c>
      <c r="W38" s="9" t="s">
        <v>58</v>
      </c>
      <c r="X38" s="8" t="s">
        <v>59</v>
      </c>
      <c r="Y38" s="9" t="s">
        <v>60</v>
      </c>
      <c r="Z38" s="8" t="s">
        <v>41</v>
      </c>
      <c r="AA38" s="9" t="s">
        <v>42</v>
      </c>
      <c r="AB38" s="10">
        <v>4.5869199999999999E-2</v>
      </c>
    </row>
    <row r="39" spans="1:28" s="4" customFormat="1" ht="13" x14ac:dyDescent="0.3">
      <c r="A39" s="5">
        <v>1101</v>
      </c>
      <c r="B39" s="6" t="s">
        <v>134</v>
      </c>
      <c r="C39" s="7">
        <v>43816</v>
      </c>
      <c r="D39" s="5">
        <v>31</v>
      </c>
      <c r="E39" s="9" t="s">
        <v>37</v>
      </c>
      <c r="F39" s="8" t="s">
        <v>137</v>
      </c>
      <c r="G39" s="9" t="s">
        <v>138</v>
      </c>
      <c r="H39" s="8" t="str">
        <f>"000291"</f>
        <v>000291</v>
      </c>
      <c r="I39" s="7">
        <v>43496</v>
      </c>
      <c r="J39" s="8" t="str">
        <f>"000133"</f>
        <v>000133</v>
      </c>
      <c r="K39" s="7">
        <v>43734</v>
      </c>
      <c r="L39" s="8" t="str">
        <f>"000162"</f>
        <v>000162</v>
      </c>
      <c r="M39" s="7">
        <v>43738</v>
      </c>
      <c r="N39" s="8">
        <v>19</v>
      </c>
      <c r="O39" s="8" t="str">
        <f>"006726"</f>
        <v>006726</v>
      </c>
      <c r="P39" s="7">
        <v>43810</v>
      </c>
      <c r="Q39" s="10">
        <v>19.743079999999999</v>
      </c>
      <c r="R39" s="10">
        <v>2.2656200000000002</v>
      </c>
      <c r="S39" s="10">
        <v>17.477460000000001</v>
      </c>
      <c r="T39" s="8">
        <v>13</v>
      </c>
      <c r="U39" s="7">
        <v>43816</v>
      </c>
      <c r="V39" s="8">
        <v>9964479379</v>
      </c>
      <c r="W39" s="9" t="s">
        <v>58</v>
      </c>
      <c r="X39" s="8" t="s">
        <v>59</v>
      </c>
      <c r="Y39" s="9" t="s">
        <v>60</v>
      </c>
      <c r="Z39" s="8" t="s">
        <v>41</v>
      </c>
      <c r="AA39" s="9" t="s">
        <v>42</v>
      </c>
      <c r="AB39" s="10">
        <v>0.19743079999999999</v>
      </c>
    </row>
    <row r="40" spans="1:28" s="4" customFormat="1" ht="13" x14ac:dyDescent="0.3">
      <c r="A40" s="5">
        <v>1102</v>
      </c>
      <c r="B40" s="6" t="s">
        <v>134</v>
      </c>
      <c r="C40" s="7">
        <v>43816</v>
      </c>
      <c r="D40" s="5">
        <v>31</v>
      </c>
      <c r="E40" s="9" t="s">
        <v>37</v>
      </c>
      <c r="F40" s="8" t="s">
        <v>139</v>
      </c>
      <c r="G40" s="9" t="s">
        <v>140</v>
      </c>
      <c r="H40" s="8" t="str">
        <f>"000292"</f>
        <v>000292</v>
      </c>
      <c r="I40" s="7">
        <v>43496</v>
      </c>
      <c r="J40" s="8" t="str">
        <f>"000135"</f>
        <v>000135</v>
      </c>
      <c r="K40" s="7">
        <v>43734</v>
      </c>
      <c r="L40" s="8" t="str">
        <f>"000163"</f>
        <v>000163</v>
      </c>
      <c r="M40" s="7">
        <v>43738</v>
      </c>
      <c r="N40" s="8">
        <v>19</v>
      </c>
      <c r="O40" s="8" t="str">
        <f>"006727"</f>
        <v>006727</v>
      </c>
      <c r="P40" s="7">
        <v>43810</v>
      </c>
      <c r="Q40" s="10">
        <v>12.15916</v>
      </c>
      <c r="R40" s="10">
        <v>1.41832</v>
      </c>
      <c r="S40" s="10">
        <v>10.74084</v>
      </c>
      <c r="T40" s="8">
        <v>13</v>
      </c>
      <c r="U40" s="7">
        <v>43816</v>
      </c>
      <c r="V40" s="8">
        <v>9019599452</v>
      </c>
      <c r="W40" s="9" t="s">
        <v>58</v>
      </c>
      <c r="X40" s="8" t="s">
        <v>59</v>
      </c>
      <c r="Y40" s="9" t="s">
        <v>60</v>
      </c>
      <c r="Z40" s="8" t="s">
        <v>41</v>
      </c>
      <c r="AA40" s="9" t="s">
        <v>42</v>
      </c>
      <c r="AB40" s="10">
        <v>0.12159159999999999</v>
      </c>
    </row>
    <row r="41" spans="1:28" s="4" customFormat="1" ht="13" x14ac:dyDescent="0.3">
      <c r="A41" s="5">
        <v>1103</v>
      </c>
      <c r="B41" s="6" t="s">
        <v>134</v>
      </c>
      <c r="C41" s="7">
        <v>43816</v>
      </c>
      <c r="D41" s="5">
        <v>31</v>
      </c>
      <c r="E41" s="9" t="s">
        <v>37</v>
      </c>
      <c r="F41" s="8" t="s">
        <v>141</v>
      </c>
      <c r="G41" s="9" t="s">
        <v>142</v>
      </c>
      <c r="H41" s="8" t="str">
        <f>"000293"</f>
        <v>000293</v>
      </c>
      <c r="I41" s="7">
        <v>43496</v>
      </c>
      <c r="J41" s="8" t="str">
        <f>"000134"</f>
        <v>000134</v>
      </c>
      <c r="K41" s="7">
        <v>43734</v>
      </c>
      <c r="L41" s="8" t="str">
        <f>"000164"</f>
        <v>000164</v>
      </c>
      <c r="M41" s="7">
        <v>43738</v>
      </c>
      <c r="N41" s="8">
        <v>19</v>
      </c>
      <c r="O41" s="8" t="str">
        <f>"006728"</f>
        <v>006728</v>
      </c>
      <c r="P41" s="7">
        <v>43810</v>
      </c>
      <c r="Q41" s="10">
        <v>12.425800000000001</v>
      </c>
      <c r="R41" s="10">
        <v>1.48716</v>
      </c>
      <c r="S41" s="10">
        <v>10.938639999999999</v>
      </c>
      <c r="T41" s="8">
        <v>13</v>
      </c>
      <c r="U41" s="7">
        <v>43816</v>
      </c>
      <c r="V41" s="8">
        <v>9019599452</v>
      </c>
      <c r="W41" s="9" t="s">
        <v>58</v>
      </c>
      <c r="X41" s="8" t="s">
        <v>59</v>
      </c>
      <c r="Y41" s="9" t="s">
        <v>60</v>
      </c>
      <c r="Z41" s="8" t="s">
        <v>41</v>
      </c>
      <c r="AA41" s="9" t="s">
        <v>42</v>
      </c>
      <c r="AB41" s="10">
        <v>0.12425800000000001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2020-01-28T11:42:16Z</dcterms:modified>
</cp:coreProperties>
</file>