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9" i="1" l="1"/>
  <c r="L49" i="1"/>
  <c r="J49" i="1"/>
  <c r="H49" i="1"/>
  <c r="O48" i="1"/>
  <c r="L48" i="1"/>
  <c r="J48" i="1"/>
  <c r="H48" i="1"/>
  <c r="O47" i="1"/>
  <c r="L47" i="1"/>
  <c r="J47" i="1"/>
  <c r="H47" i="1"/>
  <c r="O46" i="1"/>
  <c r="L46" i="1"/>
  <c r="J46" i="1"/>
  <c r="H46" i="1"/>
  <c r="O45" i="1"/>
  <c r="L45" i="1"/>
  <c r="J45" i="1"/>
  <c r="H45" i="1"/>
  <c r="O44" i="1"/>
  <c r="L44" i="1"/>
  <c r="J44" i="1"/>
  <c r="H44" i="1"/>
  <c r="O43" i="1"/>
  <c r="L43" i="1"/>
  <c r="J43" i="1"/>
  <c r="H43" i="1"/>
  <c r="O42" i="1"/>
  <c r="L42" i="1"/>
  <c r="J42" i="1"/>
  <c r="H42" i="1"/>
  <c r="O41" i="1"/>
  <c r="L41" i="1"/>
  <c r="J41" i="1"/>
  <c r="H41"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O12" i="1"/>
  <c r="L12" i="1"/>
  <c r="J12" i="1"/>
  <c r="H12" i="1"/>
  <c r="O11" i="1"/>
  <c r="L11" i="1"/>
  <c r="J11" i="1"/>
  <c r="H11"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<sst xmlns="http://schemas.openxmlformats.org/spreadsheetml/2006/main" count="460" uniqueCount="163">
  <si>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</si>
  <si>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</si>
  <si>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</si>
  <si>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</si>
  <si>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</si>
  <si>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</si>
  <si>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</si>
  <si>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</si>
  <si>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</si>
  <si>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</si>
  <si>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</si>
  <si>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</si>
  <si>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</si>
  <si>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</si>
  <si>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</si>
  <si>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</si>
  <si>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</si>
  <si>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</si>
  <si>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</si>
  <si>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</si>
  <si>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</si>
  <si>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</si>
  <si>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</si>
  <si>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</si>
  <si>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</si>
  <si>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</si>
  <si>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</si>
  <si>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</si>
  <si>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</si>
  <si>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</si>
  <si>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May</t>
  </si>
  <si>
    <t>ddo079</t>
  </si>
  <si>
    <t xml:space="preserve"> Assistant Executive Engineer K G Halli East Zone</t>
  </si>
  <si>
    <t xml:space="preserve">M/s KRIDL </t>
  </si>
  <si>
    <t>Kaval Bairasandra</t>
  </si>
  <si>
    <t>032-17-000055</t>
  </si>
  <si>
    <t>Engagement of Gangman and Hiring of Tractor / Tippers for cleaning and maintenance of Road side drains and other cleaning works in ward No. 32</t>
  </si>
  <si>
    <t>P3110</t>
  </si>
  <si>
    <t>14th Finance Commission Grant Works</t>
  </si>
  <si>
    <t>032-13-000061</t>
  </si>
  <si>
    <t>Asphalting to Roads of HBR Layout Shampura and Surrounding areas in ward no 32</t>
  </si>
  <si>
    <t>K R I D L</t>
  </si>
  <si>
    <t>P2201</t>
  </si>
  <si>
    <t>Assembly Constituency Development Works under BBMP</t>
  </si>
  <si>
    <t>032-16-000031</t>
  </si>
  <si>
    <t>Improvements to roads and  drains at Venkataswamappa Layout 2nd cross, 4th to 5th main road in Ward No.32.</t>
  </si>
  <si>
    <t>KRIDL</t>
  </si>
  <si>
    <t>P0190</t>
  </si>
  <si>
    <t>Works sanctioned by Hon Mayor</t>
  </si>
  <si>
    <t>032-19-000021</t>
  </si>
  <si>
    <t>Asphalting to roads in Kaverinagara and surrounding area in ward no 32 Kavalbyrasandra</t>
  </si>
  <si>
    <t>P3409</t>
  </si>
  <si>
    <t>SFC Untied SC-SP/TSP Grant works</t>
  </si>
  <si>
    <t>032-15-000054</t>
  </si>
  <si>
    <t xml:space="preserve">Construction of RCC Drain at Kavalbyrasandra Village in ward no 32  </t>
  </si>
  <si>
    <t>N.B. Nagaraj</t>
  </si>
  <si>
    <t>P3075</t>
  </si>
  <si>
    <t>Special comprehensive development works in Bangalore city (Bangalore city in charge Minister Discretionary Grants)</t>
  </si>
  <si>
    <t>032-19-000015</t>
  </si>
  <si>
    <t>Improvements of Footpath and drain (RHS) in Ambedkar College road from Shampura main road to BSNL Quatrus in ward no 32 Kavalbyrsandra</t>
  </si>
  <si>
    <t>P3111</t>
  </si>
  <si>
    <t>State Finance Commission Untied Grant Works</t>
  </si>
  <si>
    <t>032-19-000012</t>
  </si>
  <si>
    <t>Improvements of Footpath and drain in LR Bande main road from Shampura main road to LR Bande in ward no 32 Kavalbyrsandra</t>
  </si>
  <si>
    <t>032-19-000010</t>
  </si>
  <si>
    <t>Improvements of footpath and drains in Ganesha Block in ward no 32 Kavalbyrsandra</t>
  </si>
  <si>
    <t>032-19-000014</t>
  </si>
  <si>
    <t>Improvements of Footpath and drain (RHS) in LR Bande main road from KEB Office to Kavalbyrsandra Bus Stop in ward no 32 Kavalbyrsandra</t>
  </si>
  <si>
    <t>032-19-000016</t>
  </si>
  <si>
    <t>Improvements of Footpath and drain (LHS) in Ambedkar College road from Shampura main road to BSNL Quatrus in ward no 32 Kavalbyrsandra</t>
  </si>
  <si>
    <t>032-19-000013</t>
  </si>
  <si>
    <t>Improvements of Footpath and drain (LHS) in LR Bande main road from KEB Office to Kavalbyrsandra Bus Stop in ward no 32 Kavalbyrsandra</t>
  </si>
  <si>
    <t>July</t>
  </si>
  <si>
    <t>032-16-000008</t>
  </si>
  <si>
    <t>DESTILING OF DRAINS AT BDA LAYOUT, KRISHNAPPA LAYOUT AND SURROUNDING AREA IN WARD NO 32.</t>
  </si>
  <si>
    <t>K.N. Damodar</t>
  </si>
  <si>
    <t>P1771</t>
  </si>
  <si>
    <t>Zone Works - POW Works</t>
  </si>
  <si>
    <t>032-17-000041</t>
  </si>
  <si>
    <t>Desilting of drains at Adarshanagar and surrounding area in ward no 32</t>
  </si>
  <si>
    <t>M/s KRIDL</t>
  </si>
  <si>
    <t>P3173</t>
  </si>
  <si>
    <t>Special Development works in ward No.124, 185, 98, 188, 10, 14, 16, 30, 28, 37, 42, 130, 159, 65, 66, 73, 79, 80, 90, 95, 94, 89, 108, 111, 115, 97, 105, 131, 133, 119, 125, 137, 143, 124, 158, 138, 83, 166, 182, 129, 165, 161, 04, 88, 27, 31, 32, 52, 44, 26, 07, 183, 178, 187 (Rs.100 lakhs per ward)</t>
  </si>
  <si>
    <t>032-17-000043</t>
  </si>
  <si>
    <t>Desilting of drains at Muniveerappa Layout and surrounding area in ward no 32</t>
  </si>
  <si>
    <t>032-17-000040</t>
  </si>
  <si>
    <t>Desilting of drains at Sulthan Palya surrounding area in ward no 32</t>
  </si>
  <si>
    <t>032-17-000044</t>
  </si>
  <si>
    <t>Desilting of drains at Nanda Gokula Layout and surrounding area in ward no 32</t>
  </si>
  <si>
    <t>032-17-000042</t>
  </si>
  <si>
    <t>Desilting of drains at Shampura Village and surrounding area in ward no 32</t>
  </si>
  <si>
    <t>032-15-000055</t>
  </si>
  <si>
    <t xml:space="preserve">Construction of RCC Drain Around Ramamandira Temple Ground Kavalbyrasandra Village in ward no 32 </t>
  </si>
  <si>
    <t>032-17-000008</t>
  </si>
  <si>
    <t>Providing and fixing Ornamental Name Boards in ward no 32</t>
  </si>
  <si>
    <t>032-16-000006</t>
  </si>
  <si>
    <t>PROVIDING FENCING AT LR BANDE MAIN ROAD NEAR RAGAVENDRASWAMY TEMPLE IN WARD NO 32.</t>
  </si>
  <si>
    <t>B. Shankar</t>
  </si>
  <si>
    <t>032-16-000003</t>
  </si>
  <si>
    <t>PROVIDING CEMENT CONCRETE ROAD AT SHAMPURA VILLAGE IN WARD NO 32.</t>
  </si>
  <si>
    <t>032-18-000035</t>
  </si>
  <si>
    <t>Providing and laying 300mm dia pipe line at AMC Main road in ward 32</t>
  </si>
  <si>
    <t>BWSSB</t>
  </si>
  <si>
    <t>P3295</t>
  </si>
  <si>
    <t>14th Finance Commission Works - UGD Works</t>
  </si>
  <si>
    <t>032-18-000037</t>
  </si>
  <si>
    <t>Providing and laying 300mm dia Pipe line at Shamapura surrounding area in ward 32</t>
  </si>
  <si>
    <t>032-18-000038</t>
  </si>
  <si>
    <t>Providing and laying 300mm dia Pipe line at K B Sandra surrounding area in ward 32</t>
  </si>
  <si>
    <t>032-18-000039</t>
  </si>
  <si>
    <t>Providing and laying 300mm dia Pipe line at Ambedkar Layout surrounding area in ward 32</t>
  </si>
  <si>
    <t>032-18-000040</t>
  </si>
  <si>
    <t>Providing and laying 300mm dia Pipe line at Nandagokula Layout in ward 32</t>
  </si>
  <si>
    <t>032-17-000067</t>
  </si>
  <si>
    <t>Providing UGD lines in W N 32</t>
  </si>
  <si>
    <t>032-18-000036</t>
  </si>
  <si>
    <t>Providing and laying 300mm dia Pipe line at Siddarth layout surrounding area ward 32</t>
  </si>
  <si>
    <t>August</t>
  </si>
  <si>
    <t>032-15-000052</t>
  </si>
  <si>
    <t>DRILLING OF BOREWELLS AND PROVIDING PIPELINES IN THE AREAS OF KAVALBYRASANDRA IN WARD NO 32</t>
  </si>
  <si>
    <t>P1802</t>
  </si>
  <si>
    <t>Water Supply New Areas</t>
  </si>
  <si>
    <t>032-19-000032</t>
  </si>
  <si>
    <t>Improvements roads and footpath in Nagamma Layout surrounding area in ward no 32</t>
  </si>
  <si>
    <t>032-19-000033</t>
  </si>
  <si>
    <t>Improvements roads and footpath in RAthan Singh Layout surrounding area in ward no 32</t>
  </si>
  <si>
    <t>032-19-000034</t>
  </si>
  <si>
    <t>Improvements roads and footpath in MM Layout surrounding area in ward no 32</t>
  </si>
  <si>
    <t>September</t>
  </si>
  <si>
    <t>032-16-000032</t>
  </si>
  <si>
    <t>Improvements to drains at Kaverinagar cross roads and main roads in Ward No.32.</t>
  </si>
  <si>
    <t>032-16-000035</t>
  </si>
  <si>
    <t>Improvements and Providing covering slab to drain at Brindavan Layout in Ward No.32.</t>
  </si>
  <si>
    <t>032-19-000029</t>
  </si>
  <si>
    <t>Improvements roads and footpath in Kaverinagar 1st cross to 3rd cross and surrounding area in ward no 32</t>
  </si>
  <si>
    <t>032-19-000031</t>
  </si>
  <si>
    <t>Improvements roads and footpath in Kaverinagar 7th cross to 10th cross and surrounding area in ward no 32</t>
  </si>
  <si>
    <t>032-19-000030</t>
  </si>
  <si>
    <t>Improvements roads and footpath in Kaverinagar 4th cross to 6th cross and surrounding area in ward no 32</t>
  </si>
  <si>
    <t>032-18-000048</t>
  </si>
  <si>
    <t>Providing CCTV Cameras at Garbage black spots in ward 32</t>
  </si>
  <si>
    <t>P3298</t>
  </si>
  <si>
    <t>14th Finance Commission Works - SWM Works</t>
  </si>
  <si>
    <t>October</t>
  </si>
  <si>
    <t>032-19-000017</t>
  </si>
  <si>
    <t>Improvements to Footpath and Installation of Steel Railings to AMC main road left side and surrounding area in ward no 32</t>
  </si>
  <si>
    <t>032-19-000018</t>
  </si>
  <si>
    <t>Improvements to Footpath and Installation of Steel Railings from Shampura bus stop to L R Bande main road and surrounding area in ward no 32</t>
  </si>
  <si>
    <t>032-19-000019</t>
  </si>
  <si>
    <t>Improvements to Footpath Opp to Raghavendra swamy temple and surrounding area in ward no 32</t>
  </si>
  <si>
    <t>December</t>
  </si>
  <si>
    <t>032-17-000050</t>
  </si>
  <si>
    <t>Development of Secondary drains Territary drains at Ward No 32 Kavalbyrasandra</t>
  </si>
  <si>
    <t>032-18-000047</t>
  </si>
  <si>
    <t>Providing modern dustbin at surrounding area in ward 32</t>
  </si>
  <si>
    <t>032-19-000020</t>
  </si>
  <si>
    <t>Improvements of Footpath and drains in Kaverinagara and surrounding area in ward no 32 Kavalbyrasandra</t>
  </si>
  <si>
    <t>032-19-000022</t>
  </si>
  <si>
    <t>Improvements to roads and drains in Kaverinagara Cross Roads and surrounding area in ward no 32 Kavalbyrasandra</t>
  </si>
  <si>
    <t>032-18-000033</t>
  </si>
  <si>
    <t>Drilling of borewell Rathan Sing Layout Nagamma Layout MM layout K B Sandra Nandagokula Layout in ward 32</t>
  </si>
  <si>
    <t>P3293</t>
  </si>
  <si>
    <t>14th Finance Commission Works - Drinking Water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</si>
</sst>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workbookViewId="0">
      <selection activeCell="B1" sqref="B1"/>
    </sheetView>
  </sheetViews>
  <sheetFormatPr defaultRowHeight="14.5" x14ac:dyDescent="0.35"/>
  <cols>
    <col min="1" max="1" width="5" bestFit="1" customWidth="1"/>
    <col min="2" max="2" width="6.26953125" bestFit="1" customWidth="1"/>
    <col min="3" max="3" width="8.6328125" bestFit="1" customWidth="1"/>
    <col min="5" max="5" width="14.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1104</v>
      </c>
      <c r="B2" s="6" t="s">
        <v>28</v>
      </c>
      <c r="C2" s="7">
        <v>43563</v>
      </c>
      <c r="D2" s="8">
        <v>32</v>
      </c>
      <c r="E2" s="9" t="s">
        <v>34</v>
      </c>
      <c r="F2" s="8" t="s">
        <v>35</v>
      </c>
      <c r="G2" s="9" t="s">
        <v>36</v>
      </c>
      <c r="H2" s="8" t="str">
        <f>"000277"</f>
        <v>000277</v>
      </c>
      <c r="I2" s="7">
        <v>43481</v>
      </c>
      <c r="J2" s="8" t="str">
        <f>"000194"</f>
        <v>000194</v>
      </c>
      <c r="K2" s="7">
        <v>43523</v>
      </c>
      <c r="L2" s="8" t="str">
        <f>"000338"</f>
        <v>000338</v>
      </c>
      <c r="M2" s="7">
        <v>43524</v>
      </c>
      <c r="N2" s="8">
        <v>17</v>
      </c>
      <c r="O2" s="8" t="str">
        <f>"000052"</f>
        <v>000052</v>
      </c>
      <c r="P2" s="7">
        <v>43559</v>
      </c>
      <c r="Q2" s="10">
        <v>6.0249600000000001</v>
      </c>
      <c r="R2" s="10">
        <v>0.93669999999999998</v>
      </c>
      <c r="S2" s="10">
        <v>5.08826</v>
      </c>
      <c r="T2" s="8">
        <v>4</v>
      </c>
      <c r="U2" s="7">
        <v>43563</v>
      </c>
      <c r="V2" s="8">
        <v>9538004111</v>
      </c>
      <c r="W2" s="9" t="s">
        <v>33</v>
      </c>
      <c r="X2" s="8" t="s">
        <v>37</v>
      </c>
      <c r="Y2" s="9" t="s">
        <v>38</v>
      </c>
      <c r="Z2" s="8" t="s">
        <v>31</v>
      </c>
      <c r="AA2" s="9" t="s">
        <v>32</v>
      </c>
      <c r="AB2" s="10">
        <f t="shared" ref="AB2:AB9" si="0">Q2/100</f>
        <v>6.02496E-2</v>
      </c>
    </row>
    <row r="3" spans="1:28" s="4" customFormat="1" ht="13" x14ac:dyDescent="0.3">
      <c r="A3" s="5">
        <v>1105</v>
      </c>
      <c r="B3" s="6" t="s">
        <v>28</v>
      </c>
      <c r="C3" s="7">
        <v>43566</v>
      </c>
      <c r="D3" s="8">
        <v>32</v>
      </c>
      <c r="E3" s="9" t="s">
        <v>34</v>
      </c>
      <c r="F3" s="8" t="s">
        <v>39</v>
      </c>
      <c r="G3" s="9" t="s">
        <v>40</v>
      </c>
      <c r="H3" s="8" t="str">
        <f>"000033"</f>
        <v>000033</v>
      </c>
      <c r="I3" s="7">
        <v>42826</v>
      </c>
      <c r="J3" s="8" t="str">
        <f>"000136"</f>
        <v>000136</v>
      </c>
      <c r="K3" s="7">
        <v>42916</v>
      </c>
      <c r="L3" s="8" t="str">
        <f>"000179"</f>
        <v>000179</v>
      </c>
      <c r="M3" s="7">
        <v>42916</v>
      </c>
      <c r="N3" s="8">
        <v>13</v>
      </c>
      <c r="O3" s="8" t="str">
        <f>"000102"</f>
        <v>000102</v>
      </c>
      <c r="P3" s="7">
        <v>43563</v>
      </c>
      <c r="Q3" s="10">
        <v>28.059480000000001</v>
      </c>
      <c r="R3" s="10">
        <v>3.7081</v>
      </c>
      <c r="S3" s="10">
        <v>24.351379999999999</v>
      </c>
      <c r="T3" s="8">
        <v>12</v>
      </c>
      <c r="U3" s="7">
        <v>43566</v>
      </c>
      <c r="V3" s="8">
        <v>9845489450</v>
      </c>
      <c r="W3" s="9" t="s">
        <v>41</v>
      </c>
      <c r="X3" s="8" t="s">
        <v>42</v>
      </c>
      <c r="Y3" s="9" t="s">
        <v>43</v>
      </c>
      <c r="Z3" s="8" t="s">
        <v>31</v>
      </c>
      <c r="AA3" s="9" t="s">
        <v>32</v>
      </c>
      <c r="AB3" s="10">
        <f t="shared" si="0"/>
        <v>0.28059480000000003</v>
      </c>
    </row>
    <row r="4" spans="1:28" s="4" customFormat="1" ht="13" x14ac:dyDescent="0.3">
      <c r="A4" s="5">
        <v>1106</v>
      </c>
      <c r="B4" s="6" t="s">
        <v>30</v>
      </c>
      <c r="C4" s="7">
        <v>43600</v>
      </c>
      <c r="D4" s="8">
        <v>32</v>
      </c>
      <c r="E4" s="9" t="s">
        <v>34</v>
      </c>
      <c r="F4" s="8" t="s">
        <v>58</v>
      </c>
      <c r="G4" s="9" t="s">
        <v>59</v>
      </c>
      <c r="H4" s="8" t="str">
        <f>"000361"</f>
        <v>000361</v>
      </c>
      <c r="I4" s="7">
        <v>43534</v>
      </c>
      <c r="J4" s="8" t="str">
        <f>"000004"</f>
        <v>000004</v>
      </c>
      <c r="K4" s="7">
        <v>43580</v>
      </c>
      <c r="L4" s="8" t="str">
        <f>"000012"</f>
        <v>000012</v>
      </c>
      <c r="M4" s="7">
        <v>43581</v>
      </c>
      <c r="N4" s="8">
        <v>19</v>
      </c>
      <c r="O4" s="8" t="str">
        <f>"001468"</f>
        <v>001468</v>
      </c>
      <c r="P4" s="7">
        <v>43598</v>
      </c>
      <c r="Q4" s="10">
        <v>49.643999999999998</v>
      </c>
      <c r="R4" s="10">
        <v>4.407</v>
      </c>
      <c r="S4" s="10">
        <v>45.237000000000002</v>
      </c>
      <c r="T4" s="8">
        <v>44</v>
      </c>
      <c r="U4" s="7">
        <v>43600</v>
      </c>
      <c r="V4" s="8">
        <v>9900980808</v>
      </c>
      <c r="W4" s="9" t="s">
        <v>33</v>
      </c>
      <c r="X4" s="8" t="s">
        <v>60</v>
      </c>
      <c r="Y4" s="9" t="s">
        <v>61</v>
      </c>
      <c r="Z4" s="8" t="s">
        <v>31</v>
      </c>
      <c r="AA4" s="9" t="s">
        <v>32</v>
      </c>
      <c r="AB4" s="10">
        <f t="shared" si="0"/>
        <v>0.49643999999999999</v>
      </c>
    </row>
    <row r="5" spans="1:28" s="4" customFormat="1" ht="13" x14ac:dyDescent="0.3">
      <c r="A5" s="5">
        <v>1107</v>
      </c>
      <c r="B5" s="6" t="s">
        <v>30</v>
      </c>
      <c r="C5" s="7">
        <v>43600</v>
      </c>
      <c r="D5" s="8">
        <v>32</v>
      </c>
      <c r="E5" s="9" t="s">
        <v>34</v>
      </c>
      <c r="F5" s="8" t="s">
        <v>62</v>
      </c>
      <c r="G5" s="9" t="s">
        <v>63</v>
      </c>
      <c r="H5" s="8" t="str">
        <f>"000365"</f>
        <v>000365</v>
      </c>
      <c r="I5" s="7">
        <v>43534</v>
      </c>
      <c r="J5" s="8" t="str">
        <f>"000006"</f>
        <v>000006</v>
      </c>
      <c r="K5" s="7">
        <v>43580</v>
      </c>
      <c r="L5" s="8" t="str">
        <f>"000007"</f>
        <v>000007</v>
      </c>
      <c r="M5" s="7">
        <v>43581</v>
      </c>
      <c r="N5" s="8">
        <v>19</v>
      </c>
      <c r="O5" s="8" t="str">
        <f>"001469"</f>
        <v>001469</v>
      </c>
      <c r="P5" s="7">
        <v>43598</v>
      </c>
      <c r="Q5" s="10">
        <v>49.644739999999999</v>
      </c>
      <c r="R5" s="10">
        <v>4.3804999999999996</v>
      </c>
      <c r="S5" s="10">
        <v>45.264240000000001</v>
      </c>
      <c r="T5" s="8">
        <v>44</v>
      </c>
      <c r="U5" s="7">
        <v>43600</v>
      </c>
      <c r="V5" s="8">
        <v>9900980808</v>
      </c>
      <c r="W5" s="9" t="s">
        <v>33</v>
      </c>
      <c r="X5" s="8" t="s">
        <v>60</v>
      </c>
      <c r="Y5" s="9" t="s">
        <v>61</v>
      </c>
      <c r="Z5" s="8" t="s">
        <v>31</v>
      </c>
      <c r="AA5" s="9" t="s">
        <v>32</v>
      </c>
      <c r="AB5" s="10">
        <f t="shared" si="0"/>
        <v>0.49644739999999998</v>
      </c>
    </row>
    <row r="6" spans="1:28" s="4" customFormat="1" ht="13" x14ac:dyDescent="0.3">
      <c r="A6" s="5">
        <v>1108</v>
      </c>
      <c r="B6" s="6" t="s">
        <v>30</v>
      </c>
      <c r="C6" s="7">
        <v>43600</v>
      </c>
      <c r="D6" s="8">
        <v>32</v>
      </c>
      <c r="E6" s="9" t="s">
        <v>34</v>
      </c>
      <c r="F6" s="8" t="s">
        <v>64</v>
      </c>
      <c r="G6" s="9" t="s">
        <v>65</v>
      </c>
      <c r="H6" s="8" t="str">
        <f>"000364"</f>
        <v>000364</v>
      </c>
      <c r="I6" s="7">
        <v>43534</v>
      </c>
      <c r="J6" s="8" t="str">
        <f>"000002"</f>
        <v>000002</v>
      </c>
      <c r="K6" s="7">
        <v>43580</v>
      </c>
      <c r="L6" s="8" t="str">
        <f>"000010"</f>
        <v>000010</v>
      </c>
      <c r="M6" s="7">
        <v>43581</v>
      </c>
      <c r="N6" s="8">
        <v>19</v>
      </c>
      <c r="O6" s="8" t="str">
        <f>"001470"</f>
        <v>001470</v>
      </c>
      <c r="P6" s="7">
        <v>43598</v>
      </c>
      <c r="Q6" s="10">
        <v>49.67</v>
      </c>
      <c r="R6" s="10">
        <v>4.4175000000000004</v>
      </c>
      <c r="S6" s="10">
        <v>45.252499999999998</v>
      </c>
      <c r="T6" s="8">
        <v>44</v>
      </c>
      <c r="U6" s="7">
        <v>43600</v>
      </c>
      <c r="V6" s="8">
        <v>9900980808</v>
      </c>
      <c r="W6" s="9" t="s">
        <v>33</v>
      </c>
      <c r="X6" s="8" t="s">
        <v>60</v>
      </c>
      <c r="Y6" s="9" t="s">
        <v>61</v>
      </c>
      <c r="Z6" s="8" t="s">
        <v>31</v>
      </c>
      <c r="AA6" s="9" t="s">
        <v>32</v>
      </c>
      <c r="AB6" s="10">
        <f t="shared" si="0"/>
        <v>0.49670000000000003</v>
      </c>
    </row>
    <row r="7" spans="1:28" s="4" customFormat="1" ht="13" x14ac:dyDescent="0.3">
      <c r="A7" s="5">
        <v>1109</v>
      </c>
      <c r="B7" s="6" t="s">
        <v>30</v>
      </c>
      <c r="C7" s="7">
        <v>43600</v>
      </c>
      <c r="D7" s="8">
        <v>32</v>
      </c>
      <c r="E7" s="9" t="s">
        <v>34</v>
      </c>
      <c r="F7" s="8" t="s">
        <v>66</v>
      </c>
      <c r="G7" s="9" t="s">
        <v>67</v>
      </c>
      <c r="H7" s="8" t="str">
        <f>"000366"</f>
        <v>000366</v>
      </c>
      <c r="I7" s="7">
        <v>43534</v>
      </c>
      <c r="J7" s="8" t="str">
        <f>"000003"</f>
        <v>000003</v>
      </c>
      <c r="K7" s="7">
        <v>43580</v>
      </c>
      <c r="L7" s="8" t="str">
        <f>"000011"</f>
        <v>000011</v>
      </c>
      <c r="M7" s="7">
        <v>43581</v>
      </c>
      <c r="N7" s="8">
        <v>19</v>
      </c>
      <c r="O7" s="8" t="str">
        <f>"001471"</f>
        <v>001471</v>
      </c>
      <c r="P7" s="7">
        <v>43598</v>
      </c>
      <c r="Q7" s="10">
        <v>49.622619999999998</v>
      </c>
      <c r="R7" s="10">
        <v>4.3972499999999997</v>
      </c>
      <c r="S7" s="10">
        <v>45.225369999999998</v>
      </c>
      <c r="T7" s="8">
        <v>44</v>
      </c>
      <c r="U7" s="7">
        <v>43600</v>
      </c>
      <c r="V7" s="8">
        <v>9900980808</v>
      </c>
      <c r="W7" s="9" t="s">
        <v>33</v>
      </c>
      <c r="X7" s="8" t="s">
        <v>60</v>
      </c>
      <c r="Y7" s="9" t="s">
        <v>61</v>
      </c>
      <c r="Z7" s="8" t="s">
        <v>31</v>
      </c>
      <c r="AA7" s="9" t="s">
        <v>32</v>
      </c>
      <c r="AB7" s="10">
        <f t="shared" si="0"/>
        <v>0.49622619999999995</v>
      </c>
    </row>
    <row r="8" spans="1:28" s="4" customFormat="1" ht="13" x14ac:dyDescent="0.3">
      <c r="A8" s="5">
        <v>1110</v>
      </c>
      <c r="B8" s="6" t="s">
        <v>30</v>
      </c>
      <c r="C8" s="7">
        <v>43600</v>
      </c>
      <c r="D8" s="8">
        <v>32</v>
      </c>
      <c r="E8" s="9" t="s">
        <v>34</v>
      </c>
      <c r="F8" s="8" t="s">
        <v>68</v>
      </c>
      <c r="G8" s="9" t="s">
        <v>69</v>
      </c>
      <c r="H8" s="8" t="str">
        <f>"000362"</f>
        <v>000362</v>
      </c>
      <c r="I8" s="7">
        <v>43534</v>
      </c>
      <c r="J8" s="8" t="str">
        <f>"000008"</f>
        <v>000008</v>
      </c>
      <c r="K8" s="7">
        <v>43580</v>
      </c>
      <c r="L8" s="8" t="str">
        <f>"000009"</f>
        <v>000009</v>
      </c>
      <c r="M8" s="7">
        <v>43581</v>
      </c>
      <c r="N8" s="8">
        <v>19</v>
      </c>
      <c r="O8" s="8" t="str">
        <f>"001472"</f>
        <v>001472</v>
      </c>
      <c r="P8" s="7">
        <v>43598</v>
      </c>
      <c r="Q8" s="10">
        <v>49.676499999999997</v>
      </c>
      <c r="R8" s="10">
        <v>4.4074999999999998</v>
      </c>
      <c r="S8" s="10">
        <v>45.268999999999998</v>
      </c>
      <c r="T8" s="8">
        <v>44</v>
      </c>
      <c r="U8" s="7">
        <v>43600</v>
      </c>
      <c r="V8" s="8">
        <v>9900980808</v>
      </c>
      <c r="W8" s="9" t="s">
        <v>33</v>
      </c>
      <c r="X8" s="8" t="s">
        <v>60</v>
      </c>
      <c r="Y8" s="9" t="s">
        <v>61</v>
      </c>
      <c r="Z8" s="8" t="s">
        <v>31</v>
      </c>
      <c r="AA8" s="9" t="s">
        <v>32</v>
      </c>
      <c r="AB8" s="10">
        <f t="shared" si="0"/>
        <v>0.49676499999999996</v>
      </c>
    </row>
    <row r="9" spans="1:28" s="4" customFormat="1" ht="13" x14ac:dyDescent="0.3">
      <c r="A9" s="5">
        <v>1111</v>
      </c>
      <c r="B9" s="6" t="s">
        <v>30</v>
      </c>
      <c r="C9" s="7">
        <v>43600</v>
      </c>
      <c r="D9" s="8">
        <v>32</v>
      </c>
      <c r="E9" s="9" t="s">
        <v>34</v>
      </c>
      <c r="F9" s="8" t="s">
        <v>70</v>
      </c>
      <c r="G9" s="9" t="s">
        <v>71</v>
      </c>
      <c r="H9" s="8" t="str">
        <f>"000367"</f>
        <v>000367</v>
      </c>
      <c r="I9" s="7">
        <v>43534</v>
      </c>
      <c r="J9" s="8" t="str">
        <f>"000007"</f>
        <v>000007</v>
      </c>
      <c r="K9" s="7">
        <v>43580</v>
      </c>
      <c r="L9" s="8" t="str">
        <f>"000008"</f>
        <v>000008</v>
      </c>
      <c r="M9" s="7">
        <v>43581</v>
      </c>
      <c r="N9" s="8">
        <v>19</v>
      </c>
      <c r="O9" s="8" t="str">
        <f>"001473"</f>
        <v>001473</v>
      </c>
      <c r="P9" s="7">
        <v>43598</v>
      </c>
      <c r="Q9" s="10">
        <v>49.657580000000003</v>
      </c>
      <c r="R9" s="10">
        <v>4.3639999999999999</v>
      </c>
      <c r="S9" s="10">
        <v>45.293579999999999</v>
      </c>
      <c r="T9" s="8">
        <v>44</v>
      </c>
      <c r="U9" s="7">
        <v>43600</v>
      </c>
      <c r="V9" s="8">
        <v>9900980808</v>
      </c>
      <c r="W9" s="9" t="s">
        <v>33</v>
      </c>
      <c r="X9" s="8" t="s">
        <v>60</v>
      </c>
      <c r="Y9" s="9" t="s">
        <v>61</v>
      </c>
      <c r="Z9" s="8" t="s">
        <v>31</v>
      </c>
      <c r="AA9" s="9" t="s">
        <v>32</v>
      </c>
      <c r="AB9" s="10">
        <f t="shared" si="0"/>
        <v>0.49657580000000001</v>
      </c>
    </row>
    <row r="10" spans="1:28" s="4" customFormat="1" ht="13" x14ac:dyDescent="0.3">
      <c r="A10" s="5">
        <v>1112</v>
      </c>
      <c r="B10" s="6" t="s">
        <v>29</v>
      </c>
      <c r="C10" s="7">
        <v>43628</v>
      </c>
      <c r="D10" s="8">
        <v>32</v>
      </c>
      <c r="E10" s="9" t="s">
        <v>34</v>
      </c>
      <c r="F10" s="8" t="s">
        <v>44</v>
      </c>
      <c r="G10" s="9" t="s">
        <v>45</v>
      </c>
      <c r="H10" s="8" t="str">
        <f>"000088"</f>
        <v>000088</v>
      </c>
      <c r="I10" s="7">
        <v>42524</v>
      </c>
      <c r="J10" s="8" t="str">
        <f>"000017"</f>
        <v>000017</v>
      </c>
      <c r="K10" s="7">
        <v>43029</v>
      </c>
      <c r="L10" s="8" t="str">
        <f>"000046"</f>
        <v>000046</v>
      </c>
      <c r="M10" s="7">
        <v>43066</v>
      </c>
      <c r="N10" s="8">
        <v>16</v>
      </c>
      <c r="O10" s="8" t="str">
        <f>"002439"</f>
        <v>002439</v>
      </c>
      <c r="P10" s="7">
        <v>43622</v>
      </c>
      <c r="Q10" s="10">
        <v>19.538540000000001</v>
      </c>
      <c r="R10" s="10">
        <v>2.0730499999999998</v>
      </c>
      <c r="S10" s="10">
        <v>17.465489999999999</v>
      </c>
      <c r="T10" s="8">
        <v>76</v>
      </c>
      <c r="U10" s="7">
        <v>43628</v>
      </c>
      <c r="V10" s="8">
        <v>9740744655</v>
      </c>
      <c r="W10" s="9" t="s">
        <v>46</v>
      </c>
      <c r="X10" s="8" t="s">
        <v>47</v>
      </c>
      <c r="Y10" s="9" t="s">
        <v>48</v>
      </c>
      <c r="Z10" s="8" t="s">
        <v>31</v>
      </c>
      <c r="AA10" s="9" t="s">
        <v>32</v>
      </c>
      <c r="AB10" s="10">
        <v>0.19538540000000001</v>
      </c>
    </row>
    <row r="11" spans="1:28" s="4" customFormat="1" ht="13" x14ac:dyDescent="0.3">
      <c r="A11" s="5">
        <v>1113</v>
      </c>
      <c r="B11" s="6" t="s">
        <v>29</v>
      </c>
      <c r="C11" s="7">
        <v>43629</v>
      </c>
      <c r="D11" s="8">
        <v>32</v>
      </c>
      <c r="E11" s="9" t="s">
        <v>34</v>
      </c>
      <c r="F11" s="8" t="s">
        <v>49</v>
      </c>
      <c r="G11" s="9" t="s">
        <v>50</v>
      </c>
      <c r="H11" s="8" t="str">
        <f>"000363"</f>
        <v>000363</v>
      </c>
      <c r="I11" s="7">
        <v>43534</v>
      </c>
      <c r="J11" s="8" t="str">
        <f>"000005"</f>
        <v>000005</v>
      </c>
      <c r="K11" s="7">
        <v>43580</v>
      </c>
      <c r="L11" s="8" t="str">
        <f>"000006"</f>
        <v>000006</v>
      </c>
      <c r="M11" s="7">
        <v>43581</v>
      </c>
      <c r="N11" s="8">
        <v>19</v>
      </c>
      <c r="O11" s="8" t="str">
        <f>"002527"</f>
        <v>002527</v>
      </c>
      <c r="P11" s="7">
        <v>43623</v>
      </c>
      <c r="Q11" s="10">
        <v>49.753300000000003</v>
      </c>
      <c r="R11" s="10">
        <v>4.7584999999999997</v>
      </c>
      <c r="S11" s="10">
        <v>44.994799999999998</v>
      </c>
      <c r="T11" s="8">
        <v>81</v>
      </c>
      <c r="U11" s="7">
        <v>43629</v>
      </c>
      <c r="V11" s="8">
        <v>9900980808</v>
      </c>
      <c r="W11" s="9" t="s">
        <v>33</v>
      </c>
      <c r="X11" s="8" t="s">
        <v>51</v>
      </c>
      <c r="Y11" s="9" t="s">
        <v>52</v>
      </c>
      <c r="Z11" s="8" t="s">
        <v>31</v>
      </c>
      <c r="AA11" s="9" t="s">
        <v>32</v>
      </c>
      <c r="AB11" s="10">
        <v>0.497533</v>
      </c>
    </row>
    <row r="12" spans="1:28" s="4" customFormat="1" ht="13" x14ac:dyDescent="0.3">
      <c r="A12" s="5">
        <v>1114</v>
      </c>
      <c r="B12" s="6" t="s">
        <v>29</v>
      </c>
      <c r="C12" s="7">
        <v>43636</v>
      </c>
      <c r="D12" s="8">
        <v>32</v>
      </c>
      <c r="E12" s="9" t="s">
        <v>34</v>
      </c>
      <c r="F12" s="8" t="s">
        <v>53</v>
      </c>
      <c r="G12" s="9" t="s">
        <v>54</v>
      </c>
      <c r="H12" s="8" t="str">
        <f>"000048"</f>
        <v>000048</v>
      </c>
      <c r="I12" s="7">
        <v>42986</v>
      </c>
      <c r="J12" s="8" t="str">
        <f>"000044"</f>
        <v>000044</v>
      </c>
      <c r="K12" s="7">
        <v>43099</v>
      </c>
      <c r="L12" s="8" t="str">
        <f>"000076"</f>
        <v>000076</v>
      </c>
      <c r="M12" s="7">
        <v>43099</v>
      </c>
      <c r="N12" s="8">
        <v>15</v>
      </c>
      <c r="O12" s="8" t="str">
        <f>"002800"</f>
        <v>002800</v>
      </c>
      <c r="P12" s="7">
        <v>43633</v>
      </c>
      <c r="Q12" s="10">
        <v>21.99878</v>
      </c>
      <c r="R12" s="10">
        <v>1.3330200000000001</v>
      </c>
      <c r="S12" s="10">
        <v>20.665759999999999</v>
      </c>
      <c r="T12" s="8">
        <v>89</v>
      </c>
      <c r="U12" s="7">
        <v>43636</v>
      </c>
      <c r="V12" s="8">
        <v>9845030601</v>
      </c>
      <c r="W12" s="9" t="s">
        <v>55</v>
      </c>
      <c r="X12" s="8" t="s">
        <v>56</v>
      </c>
      <c r="Y12" s="9" t="s">
        <v>57</v>
      </c>
      <c r="Z12" s="8" t="s">
        <v>31</v>
      </c>
      <c r="AA12" s="9" t="s">
        <v>32</v>
      </c>
      <c r="AB12" s="10">
        <v>0.21998780000000001</v>
      </c>
    </row>
    <row r="13" spans="1:28" s="4" customFormat="1" ht="13" x14ac:dyDescent="0.3">
      <c r="A13" s="5">
        <v>1115</v>
      </c>
      <c r="B13" s="6" t="s">
        <v>72</v>
      </c>
      <c r="C13" s="7">
        <v>43647</v>
      </c>
      <c r="D13" s="8">
        <v>32</v>
      </c>
      <c r="E13" s="9" t="s">
        <v>34</v>
      </c>
      <c r="F13" s="8" t="s">
        <v>73</v>
      </c>
      <c r="G13" s="11" t="s">
        <v>74</v>
      </c>
      <c r="H13" s="8" t="str">
        <f>"000232"</f>
        <v>000232</v>
      </c>
      <c r="I13" s="7">
        <v>42801</v>
      </c>
      <c r="J13" s="8" t="str">
        <f>"000050"</f>
        <v>000050</v>
      </c>
      <c r="K13" s="7">
        <v>43106</v>
      </c>
      <c r="L13" s="8" t="str">
        <f>"000097"</f>
        <v>000097</v>
      </c>
      <c r="M13" s="7">
        <v>43110</v>
      </c>
      <c r="N13" s="8">
        <v>16</v>
      </c>
      <c r="O13" s="8" t="str">
        <f>"003033"</f>
        <v>003033</v>
      </c>
      <c r="P13" s="7">
        <v>43640</v>
      </c>
      <c r="Q13" s="12">
        <v>4.6001200000000004</v>
      </c>
      <c r="R13" s="12">
        <v>0.2261</v>
      </c>
      <c r="S13" s="12">
        <v>4.3740199999999998</v>
      </c>
      <c r="T13" s="8">
        <v>96</v>
      </c>
      <c r="U13" s="7">
        <v>43647</v>
      </c>
      <c r="V13" s="8">
        <v>9035660123</v>
      </c>
      <c r="W13" s="11" t="s">
        <v>75</v>
      </c>
      <c r="X13" s="8" t="s">
        <v>76</v>
      </c>
      <c r="Y13" s="11" t="s">
        <v>77</v>
      </c>
      <c r="Z13" s="8" t="s">
        <v>31</v>
      </c>
      <c r="AA13" s="11" t="s">
        <v>32</v>
      </c>
      <c r="AB13" s="12">
        <f t="shared" ref="AB13:AB39" si="1">Q13/100</f>
        <v>4.6001200000000006E-2</v>
      </c>
    </row>
    <row r="14" spans="1:28" s="4" customFormat="1" ht="13" x14ac:dyDescent="0.3">
      <c r="A14" s="5">
        <v>1116</v>
      </c>
      <c r="B14" s="6" t="s">
        <v>72</v>
      </c>
      <c r="C14" s="7">
        <v>43647</v>
      </c>
      <c r="D14" s="8">
        <v>32</v>
      </c>
      <c r="E14" s="9" t="s">
        <v>34</v>
      </c>
      <c r="F14" s="8" t="s">
        <v>78</v>
      </c>
      <c r="G14" s="11" t="s">
        <v>79</v>
      </c>
      <c r="H14" s="8" t="str">
        <f>"000245"</f>
        <v>000245</v>
      </c>
      <c r="I14" s="7">
        <v>42817</v>
      </c>
      <c r="J14" s="8" t="str">
        <f>"000054"</f>
        <v>000054</v>
      </c>
      <c r="K14" s="7">
        <v>43116</v>
      </c>
      <c r="L14" s="8" t="str">
        <f>"000100"</f>
        <v>000100</v>
      </c>
      <c r="M14" s="7">
        <v>43117</v>
      </c>
      <c r="N14" s="8">
        <v>17</v>
      </c>
      <c r="O14" s="8" t="str">
        <f>"003057"</f>
        <v>003057</v>
      </c>
      <c r="P14" s="7">
        <v>43640</v>
      </c>
      <c r="Q14" s="12">
        <v>19.8489</v>
      </c>
      <c r="R14" s="12">
        <v>2.0245000000000002</v>
      </c>
      <c r="S14" s="12">
        <v>17.824400000000001</v>
      </c>
      <c r="T14" s="8">
        <v>96</v>
      </c>
      <c r="U14" s="7">
        <v>43647</v>
      </c>
      <c r="V14" s="8">
        <v>9035660123</v>
      </c>
      <c r="W14" s="11" t="s">
        <v>80</v>
      </c>
      <c r="X14" s="8" t="s">
        <v>81</v>
      </c>
      <c r="Y14" s="11" t="s">
        <v>82</v>
      </c>
      <c r="Z14" s="8" t="s">
        <v>31</v>
      </c>
      <c r="AA14" s="11" t="s">
        <v>32</v>
      </c>
      <c r="AB14" s="12">
        <f t="shared" si="1"/>
        <v>0.198489</v>
      </c>
    </row>
    <row r="15" spans="1:28" s="4" customFormat="1" ht="13" x14ac:dyDescent="0.3">
      <c r="A15" s="5">
        <v>1117</v>
      </c>
      <c r="B15" s="6" t="s">
        <v>72</v>
      </c>
      <c r="C15" s="7">
        <v>43647</v>
      </c>
      <c r="D15" s="8">
        <v>32</v>
      </c>
      <c r="E15" s="9" t="s">
        <v>34</v>
      </c>
      <c r="F15" s="8" t="s">
        <v>83</v>
      </c>
      <c r="G15" s="11" t="s">
        <v>84</v>
      </c>
      <c r="H15" s="8" t="str">
        <f>"000247"</f>
        <v>000247</v>
      </c>
      <c r="I15" s="7">
        <v>42817</v>
      </c>
      <c r="J15" s="8" t="str">
        <f>"000052"</f>
        <v>000052</v>
      </c>
      <c r="K15" s="7">
        <v>43116</v>
      </c>
      <c r="L15" s="8" t="str">
        <f>"000101"</f>
        <v>000101</v>
      </c>
      <c r="M15" s="7">
        <v>43117</v>
      </c>
      <c r="N15" s="8">
        <v>17</v>
      </c>
      <c r="O15" s="8" t="str">
        <f>"003058"</f>
        <v>003058</v>
      </c>
      <c r="P15" s="7">
        <v>43640</v>
      </c>
      <c r="Q15" s="12">
        <v>20</v>
      </c>
      <c r="R15" s="12">
        <v>2.0310000000000001</v>
      </c>
      <c r="S15" s="12">
        <v>17.969000000000001</v>
      </c>
      <c r="T15" s="8">
        <v>96</v>
      </c>
      <c r="U15" s="7">
        <v>43647</v>
      </c>
      <c r="V15" s="8">
        <v>9035660123</v>
      </c>
      <c r="W15" s="11" t="s">
        <v>80</v>
      </c>
      <c r="X15" s="8" t="s">
        <v>81</v>
      </c>
      <c r="Y15" s="11" t="s">
        <v>82</v>
      </c>
      <c r="Z15" s="8" t="s">
        <v>31</v>
      </c>
      <c r="AA15" s="11" t="s">
        <v>32</v>
      </c>
      <c r="AB15" s="12">
        <f t="shared" si="1"/>
        <v>0.2</v>
      </c>
    </row>
    <row r="16" spans="1:28" s="4" customFormat="1" ht="13" x14ac:dyDescent="0.3">
      <c r="A16" s="5">
        <v>1118</v>
      </c>
      <c r="B16" s="6" t="s">
        <v>72</v>
      </c>
      <c r="C16" s="7">
        <v>43647</v>
      </c>
      <c r="D16" s="8">
        <v>32</v>
      </c>
      <c r="E16" s="9" t="s">
        <v>34</v>
      </c>
      <c r="F16" s="8" t="s">
        <v>85</v>
      </c>
      <c r="G16" s="11" t="s">
        <v>86</v>
      </c>
      <c r="H16" s="8" t="str">
        <f>"000244"</f>
        <v>000244</v>
      </c>
      <c r="I16" s="7">
        <v>42817</v>
      </c>
      <c r="J16" s="8" t="str">
        <f>"000055"</f>
        <v>000055</v>
      </c>
      <c r="K16" s="7">
        <v>43116</v>
      </c>
      <c r="L16" s="8" t="str">
        <f>"000102"</f>
        <v>000102</v>
      </c>
      <c r="M16" s="7">
        <v>43117</v>
      </c>
      <c r="N16" s="8">
        <v>17</v>
      </c>
      <c r="O16" s="8" t="str">
        <f>"003060"</f>
        <v>003060</v>
      </c>
      <c r="P16" s="7">
        <v>43640</v>
      </c>
      <c r="Q16" s="12">
        <v>19.932980000000001</v>
      </c>
      <c r="R16" s="12">
        <v>2.0253999999999999</v>
      </c>
      <c r="S16" s="12">
        <v>17.907579999999999</v>
      </c>
      <c r="T16" s="8">
        <v>96</v>
      </c>
      <c r="U16" s="7">
        <v>43647</v>
      </c>
      <c r="V16" s="8">
        <v>9035660123</v>
      </c>
      <c r="W16" s="11" t="s">
        <v>80</v>
      </c>
      <c r="X16" s="8" t="s">
        <v>81</v>
      </c>
      <c r="Y16" s="11" t="s">
        <v>82</v>
      </c>
      <c r="Z16" s="8" t="s">
        <v>31</v>
      </c>
      <c r="AA16" s="11" t="s">
        <v>32</v>
      </c>
      <c r="AB16" s="12">
        <f t="shared" si="1"/>
        <v>0.1993298</v>
      </c>
    </row>
    <row r="17" spans="1:28" s="4" customFormat="1" ht="13" x14ac:dyDescent="0.3">
      <c r="A17" s="5">
        <v>1119</v>
      </c>
      <c r="B17" s="6" t="s">
        <v>72</v>
      </c>
      <c r="C17" s="7">
        <v>43647</v>
      </c>
      <c r="D17" s="8">
        <v>32</v>
      </c>
      <c r="E17" s="9" t="s">
        <v>34</v>
      </c>
      <c r="F17" s="8" t="s">
        <v>87</v>
      </c>
      <c r="G17" s="11" t="s">
        <v>88</v>
      </c>
      <c r="H17" s="8" t="str">
        <f>"000248"</f>
        <v>000248</v>
      </c>
      <c r="I17" s="7">
        <v>42817</v>
      </c>
      <c r="J17" s="8" t="str">
        <f>"000056"</f>
        <v>000056</v>
      </c>
      <c r="K17" s="7">
        <v>43116</v>
      </c>
      <c r="L17" s="8" t="str">
        <f>"000103"</f>
        <v>000103</v>
      </c>
      <c r="M17" s="7">
        <v>43117</v>
      </c>
      <c r="N17" s="8">
        <v>17</v>
      </c>
      <c r="O17" s="8" t="str">
        <f>"003061"</f>
        <v>003061</v>
      </c>
      <c r="P17" s="7">
        <v>43640</v>
      </c>
      <c r="Q17" s="12">
        <v>19.985330000000001</v>
      </c>
      <c r="R17" s="12">
        <v>2.1191499999999999</v>
      </c>
      <c r="S17" s="12">
        <v>17.86618</v>
      </c>
      <c r="T17" s="8">
        <v>96</v>
      </c>
      <c r="U17" s="7">
        <v>43647</v>
      </c>
      <c r="V17" s="8">
        <v>9035660123</v>
      </c>
      <c r="W17" s="11" t="s">
        <v>80</v>
      </c>
      <c r="X17" s="8" t="s">
        <v>81</v>
      </c>
      <c r="Y17" s="11" t="s">
        <v>82</v>
      </c>
      <c r="Z17" s="8" t="s">
        <v>31</v>
      </c>
      <c r="AA17" s="11" t="s">
        <v>32</v>
      </c>
      <c r="AB17" s="12">
        <f t="shared" si="1"/>
        <v>0.19985330000000001</v>
      </c>
    </row>
    <row r="18" spans="1:28" s="4" customFormat="1" ht="13" x14ac:dyDescent="0.3">
      <c r="A18" s="5">
        <v>1120</v>
      </c>
      <c r="B18" s="6" t="s">
        <v>72</v>
      </c>
      <c r="C18" s="7">
        <v>43647</v>
      </c>
      <c r="D18" s="8">
        <v>32</v>
      </c>
      <c r="E18" s="9" t="s">
        <v>34</v>
      </c>
      <c r="F18" s="8" t="s">
        <v>89</v>
      </c>
      <c r="G18" s="11" t="s">
        <v>90</v>
      </c>
      <c r="H18" s="8" t="str">
        <f>"000246"</f>
        <v>000246</v>
      </c>
      <c r="I18" s="7">
        <v>42817</v>
      </c>
      <c r="J18" s="8" t="str">
        <f>"000053"</f>
        <v>000053</v>
      </c>
      <c r="K18" s="7">
        <v>43116</v>
      </c>
      <c r="L18" s="8" t="str">
        <f>"000104"</f>
        <v>000104</v>
      </c>
      <c r="M18" s="7">
        <v>43117</v>
      </c>
      <c r="N18" s="8">
        <v>17</v>
      </c>
      <c r="O18" s="8" t="str">
        <f>"003062"</f>
        <v>003062</v>
      </c>
      <c r="P18" s="7">
        <v>43640</v>
      </c>
      <c r="Q18" s="12">
        <v>19.801870000000001</v>
      </c>
      <c r="R18" s="12">
        <v>2.2544</v>
      </c>
      <c r="S18" s="12">
        <v>17.547470000000001</v>
      </c>
      <c r="T18" s="8">
        <v>96</v>
      </c>
      <c r="U18" s="7">
        <v>43647</v>
      </c>
      <c r="V18" s="8">
        <v>9035660123</v>
      </c>
      <c r="W18" s="11" t="s">
        <v>80</v>
      </c>
      <c r="X18" s="8" t="s">
        <v>81</v>
      </c>
      <c r="Y18" s="11" t="s">
        <v>82</v>
      </c>
      <c r="Z18" s="8" t="s">
        <v>31</v>
      </c>
      <c r="AA18" s="11" t="s">
        <v>32</v>
      </c>
      <c r="AB18" s="12">
        <f t="shared" si="1"/>
        <v>0.19801870000000002</v>
      </c>
    </row>
    <row r="19" spans="1:28" s="4" customFormat="1" ht="13" x14ac:dyDescent="0.3">
      <c r="A19" s="5">
        <v>1121</v>
      </c>
      <c r="B19" s="6" t="s">
        <v>72</v>
      </c>
      <c r="C19" s="7">
        <v>43647</v>
      </c>
      <c r="D19" s="8">
        <v>32</v>
      </c>
      <c r="E19" s="9" t="s">
        <v>34</v>
      </c>
      <c r="F19" s="8" t="s">
        <v>91</v>
      </c>
      <c r="G19" s="11" t="s">
        <v>92</v>
      </c>
      <c r="H19" s="8" t="str">
        <f>"000114"</f>
        <v>000114</v>
      </c>
      <c r="I19" s="7">
        <v>43039</v>
      </c>
      <c r="J19" s="8" t="str">
        <f>"000058"</f>
        <v>000058</v>
      </c>
      <c r="K19" s="7">
        <v>43124</v>
      </c>
      <c r="L19" s="8" t="str">
        <f>"000119"</f>
        <v>000119</v>
      </c>
      <c r="M19" s="7">
        <v>43127</v>
      </c>
      <c r="N19" s="8">
        <v>15</v>
      </c>
      <c r="O19" s="8" t="str">
        <f>"003156"</f>
        <v>003156</v>
      </c>
      <c r="P19" s="7">
        <v>43643</v>
      </c>
      <c r="Q19" s="12">
        <v>21.644300000000001</v>
      </c>
      <c r="R19" s="12">
        <v>1.3136000000000001</v>
      </c>
      <c r="S19" s="12">
        <v>20.3307</v>
      </c>
      <c r="T19" s="8">
        <v>96</v>
      </c>
      <c r="U19" s="7">
        <v>43647</v>
      </c>
      <c r="V19" s="8">
        <v>9845489450</v>
      </c>
      <c r="W19" s="11" t="s">
        <v>55</v>
      </c>
      <c r="X19" s="8" t="s">
        <v>56</v>
      </c>
      <c r="Y19" s="11" t="s">
        <v>57</v>
      </c>
      <c r="Z19" s="8" t="s">
        <v>31</v>
      </c>
      <c r="AA19" s="11" t="s">
        <v>32</v>
      </c>
      <c r="AB19" s="12">
        <f t="shared" si="1"/>
        <v>0.21644300000000002</v>
      </c>
    </row>
    <row r="20" spans="1:28" s="4" customFormat="1" ht="13" x14ac:dyDescent="0.3">
      <c r="A20" s="5">
        <v>1122</v>
      </c>
      <c r="B20" s="6" t="s">
        <v>72</v>
      </c>
      <c r="C20" s="7">
        <v>43647</v>
      </c>
      <c r="D20" s="8">
        <v>32</v>
      </c>
      <c r="E20" s="9" t="s">
        <v>34</v>
      </c>
      <c r="F20" s="8" t="s">
        <v>93</v>
      </c>
      <c r="G20" s="11" t="s">
        <v>94</v>
      </c>
      <c r="H20" s="8" t="str">
        <f>"000081"</f>
        <v>000081</v>
      </c>
      <c r="I20" s="7">
        <v>43017</v>
      </c>
      <c r="J20" s="8" t="str">
        <f>"000067"</f>
        <v>000067</v>
      </c>
      <c r="K20" s="7">
        <v>43131</v>
      </c>
      <c r="L20" s="8" t="str">
        <f>"000131"</f>
        <v>000131</v>
      </c>
      <c r="M20" s="7">
        <v>43131</v>
      </c>
      <c r="N20" s="8">
        <v>17</v>
      </c>
      <c r="O20" s="8" t="str">
        <f>"003167"</f>
        <v>003167</v>
      </c>
      <c r="P20" s="7">
        <v>43643</v>
      </c>
      <c r="Q20" s="12">
        <v>19.10005</v>
      </c>
      <c r="R20" s="12">
        <v>2.0011999999999999</v>
      </c>
      <c r="S20" s="12">
        <v>17.098849999999999</v>
      </c>
      <c r="T20" s="8">
        <v>96</v>
      </c>
      <c r="U20" s="7">
        <v>43647</v>
      </c>
      <c r="V20" s="8">
        <v>9972551099</v>
      </c>
      <c r="W20" s="11" t="s">
        <v>80</v>
      </c>
      <c r="X20" s="8" t="s">
        <v>47</v>
      </c>
      <c r="Y20" s="11" t="s">
        <v>48</v>
      </c>
      <c r="Z20" s="8" t="s">
        <v>31</v>
      </c>
      <c r="AA20" s="11" t="s">
        <v>32</v>
      </c>
      <c r="AB20" s="12">
        <f t="shared" si="1"/>
        <v>0.19100049999999999</v>
      </c>
    </row>
    <row r="21" spans="1:28" s="4" customFormat="1" ht="13" x14ac:dyDescent="0.3">
      <c r="A21" s="5">
        <v>1123</v>
      </c>
      <c r="B21" s="6" t="s">
        <v>72</v>
      </c>
      <c r="C21" s="7">
        <v>43669</v>
      </c>
      <c r="D21" s="8">
        <v>32</v>
      </c>
      <c r="E21" s="9" t="s">
        <v>34</v>
      </c>
      <c r="F21" s="8" t="s">
        <v>95</v>
      </c>
      <c r="G21" s="11" t="s">
        <v>96</v>
      </c>
      <c r="H21" s="8" t="str">
        <f>"000040"</f>
        <v>000040</v>
      </c>
      <c r="I21" s="7">
        <v>42490</v>
      </c>
      <c r="J21" s="8" t="str">
        <f>"000102"</f>
        <v>000102</v>
      </c>
      <c r="K21" s="7">
        <v>42913</v>
      </c>
      <c r="L21" s="8" t="str">
        <f>"000141"</f>
        <v>000141</v>
      </c>
      <c r="M21" s="7">
        <v>42916</v>
      </c>
      <c r="N21" s="8">
        <v>16</v>
      </c>
      <c r="O21" s="8" t="str">
        <f>"003668"</f>
        <v>003668</v>
      </c>
      <c r="P21" s="7">
        <v>43664</v>
      </c>
      <c r="Q21" s="12">
        <v>9.3833000000000002</v>
      </c>
      <c r="R21" s="12">
        <v>0.73845000000000005</v>
      </c>
      <c r="S21" s="12">
        <v>8.6448499999999999</v>
      </c>
      <c r="T21" s="8">
        <v>122</v>
      </c>
      <c r="U21" s="7">
        <v>43669</v>
      </c>
      <c r="V21" s="8">
        <v>9035660123</v>
      </c>
      <c r="W21" s="11" t="s">
        <v>97</v>
      </c>
      <c r="X21" s="8" t="s">
        <v>76</v>
      </c>
      <c r="Y21" s="11" t="s">
        <v>77</v>
      </c>
      <c r="Z21" s="8" t="s">
        <v>31</v>
      </c>
      <c r="AA21" s="11" t="s">
        <v>32</v>
      </c>
      <c r="AB21" s="12">
        <f t="shared" si="1"/>
        <v>9.3833E-2</v>
      </c>
    </row>
    <row r="22" spans="1:28" s="4" customFormat="1" ht="13" x14ac:dyDescent="0.3">
      <c r="A22" s="5">
        <v>1124</v>
      </c>
      <c r="B22" s="6" t="s">
        <v>72</v>
      </c>
      <c r="C22" s="7">
        <v>43669</v>
      </c>
      <c r="D22" s="8">
        <v>32</v>
      </c>
      <c r="E22" s="9" t="s">
        <v>34</v>
      </c>
      <c r="F22" s="8" t="s">
        <v>98</v>
      </c>
      <c r="G22" s="11" t="s">
        <v>99</v>
      </c>
      <c r="H22" s="8" t="str">
        <f>"00016A"</f>
        <v>00016A</v>
      </c>
      <c r="I22" s="7">
        <v>42490</v>
      </c>
      <c r="J22" s="8" t="str">
        <f>"000103"</f>
        <v>000103</v>
      </c>
      <c r="K22" s="7">
        <v>42913</v>
      </c>
      <c r="L22" s="8" t="str">
        <f>"000142"</f>
        <v>000142</v>
      </c>
      <c r="M22" s="7">
        <v>42916</v>
      </c>
      <c r="N22" s="8">
        <v>16</v>
      </c>
      <c r="O22" s="8" t="str">
        <f>"003670"</f>
        <v>003670</v>
      </c>
      <c r="P22" s="7">
        <v>43664</v>
      </c>
      <c r="Q22" s="12">
        <v>13.899710000000001</v>
      </c>
      <c r="R22" s="12">
        <v>1.1367</v>
      </c>
      <c r="S22" s="12">
        <v>12.76301</v>
      </c>
      <c r="T22" s="8">
        <v>122</v>
      </c>
      <c r="U22" s="7">
        <v>43669</v>
      </c>
      <c r="V22" s="8">
        <v>9342041783</v>
      </c>
      <c r="W22" s="11" t="s">
        <v>97</v>
      </c>
      <c r="X22" s="8" t="s">
        <v>76</v>
      </c>
      <c r="Y22" s="11" t="s">
        <v>77</v>
      </c>
      <c r="Z22" s="8" t="s">
        <v>31</v>
      </c>
      <c r="AA22" s="11" t="s">
        <v>32</v>
      </c>
      <c r="AB22" s="12">
        <f t="shared" si="1"/>
        <v>0.13899710000000001</v>
      </c>
    </row>
    <row r="23" spans="1:28" s="4" customFormat="1" ht="13" x14ac:dyDescent="0.3">
      <c r="A23" s="5">
        <v>1125</v>
      </c>
      <c r="B23" s="6" t="s">
        <v>72</v>
      </c>
      <c r="C23" s="7">
        <v>43672</v>
      </c>
      <c r="D23" s="8">
        <v>32</v>
      </c>
      <c r="E23" s="9" t="s">
        <v>34</v>
      </c>
      <c r="F23" s="8" t="s">
        <v>100</v>
      </c>
      <c r="G23" s="11" t="s">
        <v>101</v>
      </c>
      <c r="H23" s="8" t="str">
        <f>"000043"</f>
        <v>000043</v>
      </c>
      <c r="I23" s="7">
        <v>43607</v>
      </c>
      <c r="J23" s="8" t="str">
        <f>"000064"</f>
        <v>000064</v>
      </c>
      <c r="K23" s="7">
        <v>43609</v>
      </c>
      <c r="L23" s="8" t="str">
        <f>"000077"</f>
        <v>000077</v>
      </c>
      <c r="M23" s="7">
        <v>43615</v>
      </c>
      <c r="N23" s="8">
        <v>18</v>
      </c>
      <c r="O23" s="8" t="str">
        <f>"003903"</f>
        <v>003903</v>
      </c>
      <c r="P23" s="7">
        <v>43669</v>
      </c>
      <c r="Q23" s="12">
        <v>20</v>
      </c>
      <c r="R23" s="12">
        <v>0</v>
      </c>
      <c r="S23" s="12">
        <v>20</v>
      </c>
      <c r="T23" s="8">
        <v>128</v>
      </c>
      <c r="U23" s="7">
        <v>43672</v>
      </c>
      <c r="V23" s="8">
        <v>9538004111</v>
      </c>
      <c r="W23" s="11" t="s">
        <v>102</v>
      </c>
      <c r="X23" s="8" t="s">
        <v>103</v>
      </c>
      <c r="Y23" s="11" t="s">
        <v>104</v>
      </c>
      <c r="Z23" s="8" t="s">
        <v>31</v>
      </c>
      <c r="AA23" s="11" t="s">
        <v>32</v>
      </c>
      <c r="AB23" s="12">
        <f t="shared" si="1"/>
        <v>0.2</v>
      </c>
    </row>
    <row r="24" spans="1:28" s="4" customFormat="1" ht="13" x14ac:dyDescent="0.3">
      <c r="A24" s="5">
        <v>1126</v>
      </c>
      <c r="B24" s="6" t="s">
        <v>72</v>
      </c>
      <c r="C24" s="7">
        <v>43672</v>
      </c>
      <c r="D24" s="8">
        <v>32</v>
      </c>
      <c r="E24" s="9" t="s">
        <v>34</v>
      </c>
      <c r="F24" s="8" t="s">
        <v>105</v>
      </c>
      <c r="G24" s="11" t="s">
        <v>106</v>
      </c>
      <c r="H24" s="8" t="str">
        <f>"000039"</f>
        <v>000039</v>
      </c>
      <c r="I24" s="7">
        <v>43607</v>
      </c>
      <c r="J24" s="8" t="str">
        <f>"000060"</f>
        <v>000060</v>
      </c>
      <c r="K24" s="7">
        <v>43609</v>
      </c>
      <c r="L24" s="8" t="str">
        <f>"000079"</f>
        <v>000079</v>
      </c>
      <c r="M24" s="7">
        <v>43615</v>
      </c>
      <c r="N24" s="8">
        <v>18</v>
      </c>
      <c r="O24" s="8" t="str">
        <f>"003906"</f>
        <v>003906</v>
      </c>
      <c r="P24" s="7">
        <v>43669</v>
      </c>
      <c r="Q24" s="12">
        <v>20</v>
      </c>
      <c r="R24" s="12">
        <v>0</v>
      </c>
      <c r="S24" s="12">
        <v>20</v>
      </c>
      <c r="T24" s="8">
        <v>128</v>
      </c>
      <c r="U24" s="7">
        <v>43672</v>
      </c>
      <c r="V24" s="8">
        <v>9538004111</v>
      </c>
      <c r="W24" s="11" t="s">
        <v>102</v>
      </c>
      <c r="X24" s="8" t="s">
        <v>103</v>
      </c>
      <c r="Y24" s="11" t="s">
        <v>104</v>
      </c>
      <c r="Z24" s="8" t="s">
        <v>31</v>
      </c>
      <c r="AA24" s="11" t="s">
        <v>32</v>
      </c>
      <c r="AB24" s="12">
        <f t="shared" si="1"/>
        <v>0.2</v>
      </c>
    </row>
    <row r="25" spans="1:28" s="4" customFormat="1" ht="13" x14ac:dyDescent="0.3">
      <c r="A25" s="5">
        <v>1127</v>
      </c>
      <c r="B25" s="6" t="s">
        <v>72</v>
      </c>
      <c r="C25" s="7">
        <v>43672</v>
      </c>
      <c r="D25" s="8">
        <v>32</v>
      </c>
      <c r="E25" s="9" t="s">
        <v>34</v>
      </c>
      <c r="F25" s="8" t="s">
        <v>107</v>
      </c>
      <c r="G25" s="11" t="s">
        <v>108</v>
      </c>
      <c r="H25" s="8" t="str">
        <f>"000041"</f>
        <v>000041</v>
      </c>
      <c r="I25" s="7">
        <v>43607</v>
      </c>
      <c r="J25" s="8" t="str">
        <f>"000061"</f>
        <v>000061</v>
      </c>
      <c r="K25" s="7">
        <v>43609</v>
      </c>
      <c r="L25" s="8" t="str">
        <f>"000080"</f>
        <v>000080</v>
      </c>
      <c r="M25" s="7">
        <v>43615</v>
      </c>
      <c r="N25" s="8">
        <v>18</v>
      </c>
      <c r="O25" s="8" t="str">
        <f>"003908"</f>
        <v>003908</v>
      </c>
      <c r="P25" s="7">
        <v>43669</v>
      </c>
      <c r="Q25" s="12">
        <v>20</v>
      </c>
      <c r="R25" s="12">
        <v>0</v>
      </c>
      <c r="S25" s="12">
        <v>20</v>
      </c>
      <c r="T25" s="8">
        <v>128</v>
      </c>
      <c r="U25" s="7">
        <v>43672</v>
      </c>
      <c r="V25" s="8">
        <v>9538004111</v>
      </c>
      <c r="W25" s="11" t="s">
        <v>102</v>
      </c>
      <c r="X25" s="8" t="s">
        <v>103</v>
      </c>
      <c r="Y25" s="11" t="s">
        <v>104</v>
      </c>
      <c r="Z25" s="8" t="s">
        <v>31</v>
      </c>
      <c r="AA25" s="11" t="s">
        <v>32</v>
      </c>
      <c r="AB25" s="12">
        <f t="shared" si="1"/>
        <v>0.2</v>
      </c>
    </row>
    <row r="26" spans="1:28" s="4" customFormat="1" ht="13" x14ac:dyDescent="0.3">
      <c r="A26" s="5">
        <v>1128</v>
      </c>
      <c r="B26" s="6" t="s">
        <v>72</v>
      </c>
      <c r="C26" s="7">
        <v>43672</v>
      </c>
      <c r="D26" s="8">
        <v>32</v>
      </c>
      <c r="E26" s="9" t="s">
        <v>34</v>
      </c>
      <c r="F26" s="8" t="s">
        <v>109</v>
      </c>
      <c r="G26" s="11" t="s">
        <v>110</v>
      </c>
      <c r="H26" s="8" t="str">
        <f>"000042"</f>
        <v>000042</v>
      </c>
      <c r="I26" s="7">
        <v>43607</v>
      </c>
      <c r="J26" s="8" t="str">
        <f>"000062"</f>
        <v>000062</v>
      </c>
      <c r="K26" s="7">
        <v>43609</v>
      </c>
      <c r="L26" s="8" t="str">
        <f>"000081"</f>
        <v>000081</v>
      </c>
      <c r="M26" s="7">
        <v>43615</v>
      </c>
      <c r="N26" s="8">
        <v>18</v>
      </c>
      <c r="O26" s="8" t="str">
        <f>"003912"</f>
        <v>003912</v>
      </c>
      <c r="P26" s="7">
        <v>43669</v>
      </c>
      <c r="Q26" s="12">
        <v>20</v>
      </c>
      <c r="R26" s="12">
        <v>0</v>
      </c>
      <c r="S26" s="12">
        <v>20</v>
      </c>
      <c r="T26" s="8">
        <v>128</v>
      </c>
      <c r="U26" s="7">
        <v>43672</v>
      </c>
      <c r="V26" s="8">
        <v>9538004111</v>
      </c>
      <c r="W26" s="11" t="s">
        <v>102</v>
      </c>
      <c r="X26" s="8" t="s">
        <v>103</v>
      </c>
      <c r="Y26" s="11" t="s">
        <v>104</v>
      </c>
      <c r="Z26" s="8" t="s">
        <v>31</v>
      </c>
      <c r="AA26" s="11" t="s">
        <v>32</v>
      </c>
      <c r="AB26" s="12">
        <f t="shared" si="1"/>
        <v>0.2</v>
      </c>
    </row>
    <row r="27" spans="1:28" s="4" customFormat="1" ht="13" x14ac:dyDescent="0.3">
      <c r="A27" s="5">
        <v>1129</v>
      </c>
      <c r="B27" s="6" t="s">
        <v>72</v>
      </c>
      <c r="C27" s="7">
        <v>43672</v>
      </c>
      <c r="D27" s="8">
        <v>32</v>
      </c>
      <c r="E27" s="9" t="s">
        <v>34</v>
      </c>
      <c r="F27" s="8" t="s">
        <v>111</v>
      </c>
      <c r="G27" s="11" t="s">
        <v>112</v>
      </c>
      <c r="H27" s="8" t="str">
        <f>"000040"</f>
        <v>000040</v>
      </c>
      <c r="I27" s="7">
        <v>43607</v>
      </c>
      <c r="J27" s="8" t="str">
        <f>"000063"</f>
        <v>000063</v>
      </c>
      <c r="K27" s="7">
        <v>43609</v>
      </c>
      <c r="L27" s="8" t="str">
        <f>"000082"</f>
        <v>000082</v>
      </c>
      <c r="M27" s="7">
        <v>43615</v>
      </c>
      <c r="N27" s="8">
        <v>18</v>
      </c>
      <c r="O27" s="8" t="str">
        <f>"003913"</f>
        <v>003913</v>
      </c>
      <c r="P27" s="7">
        <v>43669</v>
      </c>
      <c r="Q27" s="12">
        <v>15</v>
      </c>
      <c r="R27" s="12">
        <v>0</v>
      </c>
      <c r="S27" s="12">
        <v>15</v>
      </c>
      <c r="T27" s="8">
        <v>128</v>
      </c>
      <c r="U27" s="7">
        <v>43672</v>
      </c>
      <c r="V27" s="8">
        <v>9538004111</v>
      </c>
      <c r="W27" s="11" t="s">
        <v>102</v>
      </c>
      <c r="X27" s="8" t="s">
        <v>103</v>
      </c>
      <c r="Y27" s="11" t="s">
        <v>104</v>
      </c>
      <c r="Z27" s="8" t="s">
        <v>31</v>
      </c>
      <c r="AA27" s="11" t="s">
        <v>32</v>
      </c>
      <c r="AB27" s="12">
        <f t="shared" si="1"/>
        <v>0.15</v>
      </c>
    </row>
    <row r="28" spans="1:28" s="4" customFormat="1" ht="13" x14ac:dyDescent="0.3">
      <c r="A28" s="5">
        <v>1130</v>
      </c>
      <c r="B28" s="6" t="s">
        <v>72</v>
      </c>
      <c r="C28" s="7">
        <v>43672</v>
      </c>
      <c r="D28" s="8">
        <v>32</v>
      </c>
      <c r="E28" s="9" t="s">
        <v>34</v>
      </c>
      <c r="F28" s="8" t="s">
        <v>113</v>
      </c>
      <c r="G28" s="11" t="s">
        <v>114</v>
      </c>
      <c r="H28" s="8" t="str">
        <f>"000038"</f>
        <v>000038</v>
      </c>
      <c r="I28" s="7">
        <v>43607</v>
      </c>
      <c r="J28" s="8" t="str">
        <f>"000059"</f>
        <v>000059</v>
      </c>
      <c r="K28" s="7">
        <v>43607</v>
      </c>
      <c r="L28" s="8" t="str">
        <f>"000083"</f>
        <v>000083</v>
      </c>
      <c r="M28" s="7">
        <v>43615</v>
      </c>
      <c r="N28" s="8">
        <v>17</v>
      </c>
      <c r="O28" s="8" t="str">
        <f>"003916"</f>
        <v>003916</v>
      </c>
      <c r="P28" s="7">
        <v>43669</v>
      </c>
      <c r="Q28" s="12">
        <v>75</v>
      </c>
      <c r="R28" s="12">
        <v>0</v>
      </c>
      <c r="S28" s="12">
        <v>75</v>
      </c>
      <c r="T28" s="8">
        <v>128</v>
      </c>
      <c r="U28" s="7">
        <v>43672</v>
      </c>
      <c r="V28" s="8">
        <v>9538004111</v>
      </c>
      <c r="W28" s="11" t="s">
        <v>102</v>
      </c>
      <c r="X28" s="8" t="s">
        <v>37</v>
      </c>
      <c r="Y28" s="11" t="s">
        <v>38</v>
      </c>
      <c r="Z28" s="8" t="s">
        <v>31</v>
      </c>
      <c r="AA28" s="11" t="s">
        <v>32</v>
      </c>
      <c r="AB28" s="12">
        <f t="shared" si="1"/>
        <v>0.75</v>
      </c>
    </row>
    <row r="29" spans="1:28" s="4" customFormat="1" ht="13" x14ac:dyDescent="0.3">
      <c r="A29" s="5">
        <v>1131</v>
      </c>
      <c r="B29" s="6" t="s">
        <v>72</v>
      </c>
      <c r="C29" s="7">
        <v>43672</v>
      </c>
      <c r="D29" s="8">
        <v>32</v>
      </c>
      <c r="E29" s="9" t="s">
        <v>34</v>
      </c>
      <c r="F29" s="8" t="s">
        <v>115</v>
      </c>
      <c r="G29" s="11" t="s">
        <v>116</v>
      </c>
      <c r="H29" s="8" t="str">
        <f>"000044"</f>
        <v>000044</v>
      </c>
      <c r="I29" s="7">
        <v>43607</v>
      </c>
      <c r="J29" s="8" t="str">
        <f>"000065"</f>
        <v>000065</v>
      </c>
      <c r="K29" s="7">
        <v>43609</v>
      </c>
      <c r="L29" s="8" t="str">
        <f>"000078"</f>
        <v>000078</v>
      </c>
      <c r="M29" s="7">
        <v>43615</v>
      </c>
      <c r="N29" s="8">
        <v>18</v>
      </c>
      <c r="O29" s="8" t="str">
        <f>"003931"</f>
        <v>003931</v>
      </c>
      <c r="P29" s="7">
        <v>43669</v>
      </c>
      <c r="Q29" s="12">
        <v>20</v>
      </c>
      <c r="R29" s="12">
        <v>0</v>
      </c>
      <c r="S29" s="12">
        <v>20</v>
      </c>
      <c r="T29" s="8">
        <v>128</v>
      </c>
      <c r="U29" s="7">
        <v>43672</v>
      </c>
      <c r="V29" s="8">
        <v>9538004111</v>
      </c>
      <c r="W29" s="11" t="s">
        <v>102</v>
      </c>
      <c r="X29" s="8" t="s">
        <v>103</v>
      </c>
      <c r="Y29" s="11" t="s">
        <v>104</v>
      </c>
      <c r="Z29" s="8" t="s">
        <v>31</v>
      </c>
      <c r="AA29" s="11" t="s">
        <v>32</v>
      </c>
      <c r="AB29" s="12">
        <f t="shared" si="1"/>
        <v>0.2</v>
      </c>
    </row>
    <row r="30" spans="1:28" s="4" customFormat="1" ht="13" x14ac:dyDescent="0.3">
      <c r="A30" s="5">
        <v>1132</v>
      </c>
      <c r="B30" s="6" t="s">
        <v>117</v>
      </c>
      <c r="C30" s="7">
        <v>43685</v>
      </c>
      <c r="D30" s="8">
        <v>32</v>
      </c>
      <c r="E30" s="9" t="s">
        <v>34</v>
      </c>
      <c r="F30" s="8" t="s">
        <v>118</v>
      </c>
      <c r="G30" s="11" t="s">
        <v>119</v>
      </c>
      <c r="H30" s="8" t="str">
        <f>"00.057"</f>
        <v>00.057</v>
      </c>
      <c r="I30" s="7">
        <v>42867</v>
      </c>
      <c r="J30" s="8" t="str">
        <f>"000061"</f>
        <v>000061</v>
      </c>
      <c r="K30" s="7">
        <v>43298</v>
      </c>
      <c r="L30" s="8" t="str">
        <f>"000095"</f>
        <v>000095</v>
      </c>
      <c r="M30" s="7">
        <v>43313</v>
      </c>
      <c r="N30" s="8">
        <v>15</v>
      </c>
      <c r="O30" s="8" t="str">
        <f>"004251"</f>
        <v>004251</v>
      </c>
      <c r="P30" s="7">
        <v>43680</v>
      </c>
      <c r="Q30" s="12">
        <v>24.440449999999998</v>
      </c>
      <c r="R30" s="12">
        <v>2.1368499999999999</v>
      </c>
      <c r="S30" s="12">
        <v>22.303599999999999</v>
      </c>
      <c r="T30" s="8">
        <v>145</v>
      </c>
      <c r="U30" s="7">
        <v>43685</v>
      </c>
      <c r="V30" s="8">
        <v>9480685813</v>
      </c>
      <c r="W30" s="11" t="s">
        <v>46</v>
      </c>
      <c r="X30" s="8" t="s">
        <v>120</v>
      </c>
      <c r="Y30" s="11" t="s">
        <v>121</v>
      </c>
      <c r="Z30" s="8" t="s">
        <v>31</v>
      </c>
      <c r="AA30" s="11" t="s">
        <v>32</v>
      </c>
      <c r="AB30" s="12">
        <f t="shared" si="1"/>
        <v>0.2444045</v>
      </c>
    </row>
    <row r="31" spans="1:28" s="4" customFormat="1" ht="13" x14ac:dyDescent="0.3">
      <c r="A31" s="5">
        <v>1133</v>
      </c>
      <c r="B31" s="6" t="s">
        <v>117</v>
      </c>
      <c r="C31" s="7">
        <v>43705</v>
      </c>
      <c r="D31" s="8">
        <v>32</v>
      </c>
      <c r="E31" s="9" t="s">
        <v>34</v>
      </c>
      <c r="F31" s="8" t="s">
        <v>122</v>
      </c>
      <c r="G31" s="11" t="s">
        <v>123</v>
      </c>
      <c r="H31" s="8" t="str">
        <f>"000306"</f>
        <v>000306</v>
      </c>
      <c r="I31" s="7">
        <v>43522</v>
      </c>
      <c r="J31" s="8" t="str">
        <f>"000080"</f>
        <v>000080</v>
      </c>
      <c r="K31" s="7">
        <v>43658</v>
      </c>
      <c r="L31" s="8" t="str">
        <f>"000103"</f>
        <v>000103</v>
      </c>
      <c r="M31" s="7">
        <v>43661</v>
      </c>
      <c r="N31" s="8">
        <v>19</v>
      </c>
      <c r="O31" s="8" t="str">
        <f>"004817"</f>
        <v>004817</v>
      </c>
      <c r="P31" s="7">
        <v>43704</v>
      </c>
      <c r="Q31" s="12">
        <v>48.7943</v>
      </c>
      <c r="R31" s="12">
        <v>4.3188500000000003</v>
      </c>
      <c r="S31" s="12">
        <v>44.475450000000002</v>
      </c>
      <c r="T31" s="8">
        <v>170</v>
      </c>
      <c r="U31" s="7">
        <v>43705</v>
      </c>
      <c r="V31" s="8">
        <v>9448055110</v>
      </c>
      <c r="W31" s="11" t="s">
        <v>46</v>
      </c>
      <c r="X31" s="8" t="s">
        <v>60</v>
      </c>
      <c r="Y31" s="11" t="s">
        <v>61</v>
      </c>
      <c r="Z31" s="8" t="s">
        <v>31</v>
      </c>
      <c r="AA31" s="11" t="s">
        <v>32</v>
      </c>
      <c r="AB31" s="12">
        <f t="shared" si="1"/>
        <v>0.48794300000000002</v>
      </c>
    </row>
    <row r="32" spans="1:28" s="4" customFormat="1" ht="13" x14ac:dyDescent="0.3">
      <c r="A32" s="5">
        <v>1134</v>
      </c>
      <c r="B32" s="6" t="s">
        <v>117</v>
      </c>
      <c r="C32" s="7">
        <v>43705</v>
      </c>
      <c r="D32" s="8">
        <v>32</v>
      </c>
      <c r="E32" s="9" t="s">
        <v>34</v>
      </c>
      <c r="F32" s="8" t="s">
        <v>124</v>
      </c>
      <c r="G32" s="11" t="s">
        <v>125</v>
      </c>
      <c r="H32" s="8" t="str">
        <f>"000310"</f>
        <v>000310</v>
      </c>
      <c r="I32" s="7">
        <v>43522</v>
      </c>
      <c r="J32" s="8" t="str">
        <f>"000079"</f>
        <v>000079</v>
      </c>
      <c r="K32" s="7">
        <v>43657</v>
      </c>
      <c r="L32" s="8" t="str">
        <f>"000105"</f>
        <v>000105</v>
      </c>
      <c r="M32" s="7">
        <v>43661</v>
      </c>
      <c r="N32" s="8">
        <v>19</v>
      </c>
      <c r="O32" s="8" t="str">
        <f>"004819"</f>
        <v>004819</v>
      </c>
      <c r="P32" s="7">
        <v>43704</v>
      </c>
      <c r="Q32" s="12">
        <v>48.783799999999999</v>
      </c>
      <c r="R32" s="12">
        <v>4.3215500000000002</v>
      </c>
      <c r="S32" s="12">
        <v>44.462249999999997</v>
      </c>
      <c r="T32" s="8">
        <v>170</v>
      </c>
      <c r="U32" s="7">
        <v>43705</v>
      </c>
      <c r="V32" s="8">
        <v>9448055110</v>
      </c>
      <c r="W32" s="11" t="s">
        <v>46</v>
      </c>
      <c r="X32" s="8" t="s">
        <v>60</v>
      </c>
      <c r="Y32" s="11" t="s">
        <v>61</v>
      </c>
      <c r="Z32" s="8" t="s">
        <v>31</v>
      </c>
      <c r="AA32" s="11" t="s">
        <v>32</v>
      </c>
      <c r="AB32" s="12">
        <f t="shared" si="1"/>
        <v>0.48783799999999999</v>
      </c>
    </row>
    <row r="33" spans="1:28" s="4" customFormat="1" ht="13" x14ac:dyDescent="0.3">
      <c r="A33" s="5">
        <v>1135</v>
      </c>
      <c r="B33" s="6" t="s">
        <v>117</v>
      </c>
      <c r="C33" s="7">
        <v>43705</v>
      </c>
      <c r="D33" s="8">
        <v>32</v>
      </c>
      <c r="E33" s="9" t="s">
        <v>34</v>
      </c>
      <c r="F33" s="8" t="s">
        <v>126</v>
      </c>
      <c r="G33" s="11" t="s">
        <v>127</v>
      </c>
      <c r="H33" s="8" t="str">
        <f>"000309"</f>
        <v>000309</v>
      </c>
      <c r="I33" s="7">
        <v>43522</v>
      </c>
      <c r="J33" s="8" t="str">
        <f>"000078"</f>
        <v>000078</v>
      </c>
      <c r="K33" s="7">
        <v>43657</v>
      </c>
      <c r="L33" s="8" t="str">
        <f>"000104"</f>
        <v>000104</v>
      </c>
      <c r="M33" s="7">
        <v>43661</v>
      </c>
      <c r="N33" s="8">
        <v>19</v>
      </c>
      <c r="O33" s="8" t="str">
        <f>"004822"</f>
        <v>004822</v>
      </c>
      <c r="P33" s="7">
        <v>43704</v>
      </c>
      <c r="Q33" s="12">
        <v>41.78828</v>
      </c>
      <c r="R33" s="12">
        <v>3.6800999999999999</v>
      </c>
      <c r="S33" s="12">
        <v>38.108179999999997</v>
      </c>
      <c r="T33" s="8">
        <v>170</v>
      </c>
      <c r="U33" s="7">
        <v>43705</v>
      </c>
      <c r="V33" s="8">
        <v>9448055110</v>
      </c>
      <c r="W33" s="11" t="s">
        <v>46</v>
      </c>
      <c r="X33" s="8" t="s">
        <v>60</v>
      </c>
      <c r="Y33" s="11" t="s">
        <v>61</v>
      </c>
      <c r="Z33" s="8" t="s">
        <v>31</v>
      </c>
      <c r="AA33" s="11" t="s">
        <v>32</v>
      </c>
      <c r="AB33" s="12">
        <f t="shared" si="1"/>
        <v>0.4178828</v>
      </c>
    </row>
    <row r="34" spans="1:28" s="4" customFormat="1" ht="13" x14ac:dyDescent="0.3">
      <c r="A34" s="5">
        <v>1136</v>
      </c>
      <c r="B34" s="6" t="s">
        <v>128</v>
      </c>
      <c r="C34" s="7">
        <v>43714</v>
      </c>
      <c r="D34" s="8">
        <v>32</v>
      </c>
      <c r="E34" s="9" t="s">
        <v>34</v>
      </c>
      <c r="F34" s="8" t="s">
        <v>129</v>
      </c>
      <c r="G34" s="11" t="s">
        <v>130</v>
      </c>
      <c r="H34" s="8" t="str">
        <f>"000089"</f>
        <v>000089</v>
      </c>
      <c r="I34" s="7">
        <v>42889</v>
      </c>
      <c r="J34" s="8" t="str">
        <f>"000094"</f>
        <v>000094</v>
      </c>
      <c r="K34" s="7">
        <v>43150</v>
      </c>
      <c r="L34" s="8" t="str">
        <f>"000173"</f>
        <v>000173</v>
      </c>
      <c r="M34" s="7">
        <v>43152</v>
      </c>
      <c r="N34" s="8">
        <v>16</v>
      </c>
      <c r="O34" s="8" t="str">
        <f>"004836"</f>
        <v>004836</v>
      </c>
      <c r="P34" s="7">
        <v>43705</v>
      </c>
      <c r="Q34" s="12">
        <v>19.538540000000001</v>
      </c>
      <c r="R34" s="12">
        <v>2.1343399999999999</v>
      </c>
      <c r="S34" s="12">
        <v>17.404199999999999</v>
      </c>
      <c r="T34" s="8">
        <v>175</v>
      </c>
      <c r="U34" s="7">
        <v>43714</v>
      </c>
      <c r="V34" s="8">
        <v>9740744655</v>
      </c>
      <c r="W34" s="11" t="s">
        <v>80</v>
      </c>
      <c r="X34" s="8" t="s">
        <v>47</v>
      </c>
      <c r="Y34" s="11" t="s">
        <v>48</v>
      </c>
      <c r="Z34" s="8" t="s">
        <v>31</v>
      </c>
      <c r="AA34" s="11" t="s">
        <v>32</v>
      </c>
      <c r="AB34" s="12">
        <f t="shared" si="1"/>
        <v>0.19538540000000001</v>
      </c>
    </row>
    <row r="35" spans="1:28" s="4" customFormat="1" ht="13" x14ac:dyDescent="0.3">
      <c r="A35" s="5">
        <v>1137</v>
      </c>
      <c r="B35" s="6" t="s">
        <v>128</v>
      </c>
      <c r="C35" s="7">
        <v>43714</v>
      </c>
      <c r="D35" s="8">
        <v>32</v>
      </c>
      <c r="E35" s="9" t="s">
        <v>34</v>
      </c>
      <c r="F35" s="8" t="s">
        <v>131</v>
      </c>
      <c r="G35" s="11" t="s">
        <v>132</v>
      </c>
      <c r="H35" s="8" t="str">
        <f>"000019"</f>
        <v>000019</v>
      </c>
      <c r="I35" s="7">
        <v>42490</v>
      </c>
      <c r="J35" s="8" t="str">
        <f>"000093"</f>
        <v>000093</v>
      </c>
      <c r="K35" s="7">
        <v>43150</v>
      </c>
      <c r="L35" s="8" t="str">
        <f>"000174"</f>
        <v>000174</v>
      </c>
      <c r="M35" s="7">
        <v>43152</v>
      </c>
      <c r="N35" s="8">
        <v>16</v>
      </c>
      <c r="O35" s="8" t="str">
        <f>"004837"</f>
        <v>004837</v>
      </c>
      <c r="P35" s="7">
        <v>43705</v>
      </c>
      <c r="Q35" s="12">
        <v>9.8255800000000004</v>
      </c>
      <c r="R35" s="12">
        <v>0.94174999999999998</v>
      </c>
      <c r="S35" s="12">
        <v>8.8838299999999997</v>
      </c>
      <c r="T35" s="8">
        <v>175</v>
      </c>
      <c r="U35" s="7">
        <v>43714</v>
      </c>
      <c r="V35" s="8">
        <v>9740744655</v>
      </c>
      <c r="W35" s="11" t="s">
        <v>80</v>
      </c>
      <c r="X35" s="8" t="s">
        <v>47</v>
      </c>
      <c r="Y35" s="11" t="s">
        <v>48</v>
      </c>
      <c r="Z35" s="8" t="s">
        <v>31</v>
      </c>
      <c r="AA35" s="11" t="s">
        <v>32</v>
      </c>
      <c r="AB35" s="12">
        <f t="shared" si="1"/>
        <v>9.8255800000000004E-2</v>
      </c>
    </row>
    <row r="36" spans="1:28" s="4" customFormat="1" ht="13" x14ac:dyDescent="0.3">
      <c r="A36" s="5">
        <v>1138</v>
      </c>
      <c r="B36" s="6" t="s">
        <v>128</v>
      </c>
      <c r="C36" s="7">
        <v>43719</v>
      </c>
      <c r="D36" s="8">
        <v>32</v>
      </c>
      <c r="E36" s="9" t="s">
        <v>34</v>
      </c>
      <c r="F36" s="8" t="s">
        <v>133</v>
      </c>
      <c r="G36" s="11" t="s">
        <v>134</v>
      </c>
      <c r="H36" s="8" t="str">
        <f>"000307"</f>
        <v>000307</v>
      </c>
      <c r="I36" s="7">
        <v>43522</v>
      </c>
      <c r="J36" s="8" t="str">
        <f>"000107"</f>
        <v>000107</v>
      </c>
      <c r="K36" s="7">
        <v>43706</v>
      </c>
      <c r="L36" s="8" t="str">
        <f>"000139"</f>
        <v>000139</v>
      </c>
      <c r="M36" s="7">
        <v>43707</v>
      </c>
      <c r="N36" s="8">
        <v>19</v>
      </c>
      <c r="O36" s="8" t="str">
        <f>"004962"</f>
        <v>004962</v>
      </c>
      <c r="P36" s="7">
        <v>43717</v>
      </c>
      <c r="Q36" s="12">
        <v>45.572000000000003</v>
      </c>
      <c r="R36" s="12">
        <v>3.9169499999999999</v>
      </c>
      <c r="S36" s="12">
        <v>41.655050000000003</v>
      </c>
      <c r="T36" s="8">
        <v>182</v>
      </c>
      <c r="U36" s="7">
        <v>43719</v>
      </c>
      <c r="V36" s="8">
        <v>9448055110</v>
      </c>
      <c r="W36" s="11" t="s">
        <v>46</v>
      </c>
      <c r="X36" s="8" t="s">
        <v>60</v>
      </c>
      <c r="Y36" s="11" t="s">
        <v>61</v>
      </c>
      <c r="Z36" s="8" t="s">
        <v>31</v>
      </c>
      <c r="AA36" s="11" t="s">
        <v>32</v>
      </c>
      <c r="AB36" s="12">
        <f t="shared" si="1"/>
        <v>0.45572000000000001</v>
      </c>
    </row>
    <row r="37" spans="1:28" s="4" customFormat="1" ht="13" x14ac:dyDescent="0.3">
      <c r="A37" s="5">
        <v>1139</v>
      </c>
      <c r="B37" s="6" t="s">
        <v>128</v>
      </c>
      <c r="C37" s="7">
        <v>43719</v>
      </c>
      <c r="D37" s="8">
        <v>32</v>
      </c>
      <c r="E37" s="9" t="s">
        <v>34</v>
      </c>
      <c r="F37" s="8" t="s">
        <v>135</v>
      </c>
      <c r="G37" s="11" t="s">
        <v>136</v>
      </c>
      <c r="H37" s="8" t="str">
        <f>"000311"</f>
        <v>000311</v>
      </c>
      <c r="I37" s="7">
        <v>43522</v>
      </c>
      <c r="J37" s="8" t="str">
        <f>"000109"</f>
        <v>000109</v>
      </c>
      <c r="K37" s="7">
        <v>43706</v>
      </c>
      <c r="L37" s="8" t="str">
        <f>"000140"</f>
        <v>000140</v>
      </c>
      <c r="M37" s="7">
        <v>43707</v>
      </c>
      <c r="N37" s="8">
        <v>19</v>
      </c>
      <c r="O37" s="8" t="str">
        <f>"004963"</f>
        <v>004963</v>
      </c>
      <c r="P37" s="7">
        <v>43717</v>
      </c>
      <c r="Q37" s="12">
        <v>45.794899999999998</v>
      </c>
      <c r="R37" s="12">
        <v>3.8871099999999998</v>
      </c>
      <c r="S37" s="12">
        <v>41.907789999999999</v>
      </c>
      <c r="T37" s="8">
        <v>182</v>
      </c>
      <c r="U37" s="7">
        <v>43719</v>
      </c>
      <c r="V37" s="8">
        <v>9448055110</v>
      </c>
      <c r="W37" s="11" t="s">
        <v>46</v>
      </c>
      <c r="X37" s="8" t="s">
        <v>60</v>
      </c>
      <c r="Y37" s="11" t="s">
        <v>61</v>
      </c>
      <c r="Z37" s="8" t="s">
        <v>31</v>
      </c>
      <c r="AA37" s="11" t="s">
        <v>32</v>
      </c>
      <c r="AB37" s="12">
        <f t="shared" si="1"/>
        <v>0.45794899999999999</v>
      </c>
    </row>
    <row r="38" spans="1:28" s="4" customFormat="1" ht="13" x14ac:dyDescent="0.3">
      <c r="A38" s="5">
        <v>1140</v>
      </c>
      <c r="B38" s="6" t="s">
        <v>128</v>
      </c>
      <c r="C38" s="7">
        <v>43719</v>
      </c>
      <c r="D38" s="8">
        <v>32</v>
      </c>
      <c r="E38" s="9" t="s">
        <v>34</v>
      </c>
      <c r="F38" s="8" t="s">
        <v>137</v>
      </c>
      <c r="G38" s="11" t="s">
        <v>138</v>
      </c>
      <c r="H38" s="8" t="str">
        <f>"000308"</f>
        <v>000308</v>
      </c>
      <c r="I38" s="7">
        <v>43522</v>
      </c>
      <c r="J38" s="8" t="str">
        <f>"000108"</f>
        <v>000108</v>
      </c>
      <c r="K38" s="7">
        <v>43706</v>
      </c>
      <c r="L38" s="8" t="str">
        <f>"000141"</f>
        <v>000141</v>
      </c>
      <c r="M38" s="7">
        <v>43707</v>
      </c>
      <c r="N38" s="8">
        <v>19</v>
      </c>
      <c r="O38" s="8" t="str">
        <f>"004965"</f>
        <v>004965</v>
      </c>
      <c r="P38" s="7">
        <v>43717</v>
      </c>
      <c r="Q38" s="12">
        <v>47.797400000000003</v>
      </c>
      <c r="R38" s="12">
        <v>4.3491099999999996</v>
      </c>
      <c r="S38" s="12">
        <v>43.44829</v>
      </c>
      <c r="T38" s="8">
        <v>182</v>
      </c>
      <c r="U38" s="7">
        <v>43719</v>
      </c>
      <c r="V38" s="8">
        <v>9448055110</v>
      </c>
      <c r="W38" s="11" t="s">
        <v>46</v>
      </c>
      <c r="X38" s="8" t="s">
        <v>60</v>
      </c>
      <c r="Y38" s="11" t="s">
        <v>61</v>
      </c>
      <c r="Z38" s="8" t="s">
        <v>31</v>
      </c>
      <c r="AA38" s="11" t="s">
        <v>32</v>
      </c>
      <c r="AB38" s="12">
        <f t="shared" si="1"/>
        <v>0.47797400000000001</v>
      </c>
    </row>
    <row r="39" spans="1:28" s="4" customFormat="1" ht="13" x14ac:dyDescent="0.3">
      <c r="A39" s="5">
        <v>1141</v>
      </c>
      <c r="B39" s="6" t="s">
        <v>128</v>
      </c>
      <c r="C39" s="7">
        <v>43726</v>
      </c>
      <c r="D39" s="8">
        <v>32</v>
      </c>
      <c r="E39" s="9" t="s">
        <v>34</v>
      </c>
      <c r="F39" s="8" t="s">
        <v>139</v>
      </c>
      <c r="G39" s="11" t="s">
        <v>140</v>
      </c>
      <c r="H39" s="8" t="str">
        <f>"000197"</f>
        <v>000197</v>
      </c>
      <c r="I39" s="7">
        <v>43399</v>
      </c>
      <c r="J39" s="8" t="str">
        <f>"000087"</f>
        <v>000087</v>
      </c>
      <c r="K39" s="7">
        <v>43671</v>
      </c>
      <c r="L39" s="8" t="str">
        <f>"000115"</f>
        <v>000115</v>
      </c>
      <c r="M39" s="7">
        <v>43672</v>
      </c>
      <c r="N39" s="8">
        <v>18</v>
      </c>
      <c r="O39" s="8" t="str">
        <f>"005034"</f>
        <v>005034</v>
      </c>
      <c r="P39" s="7">
        <v>43720</v>
      </c>
      <c r="Q39" s="12">
        <v>39.929400000000001</v>
      </c>
      <c r="R39" s="12">
        <v>3.3</v>
      </c>
      <c r="S39" s="12">
        <v>36.629399999999997</v>
      </c>
      <c r="T39" s="8">
        <v>191</v>
      </c>
      <c r="U39" s="7">
        <v>43726</v>
      </c>
      <c r="V39" s="8">
        <v>9620746150</v>
      </c>
      <c r="W39" s="11" t="s">
        <v>33</v>
      </c>
      <c r="X39" s="8" t="s">
        <v>141</v>
      </c>
      <c r="Y39" s="11" t="s">
        <v>142</v>
      </c>
      <c r="Z39" s="8" t="s">
        <v>31</v>
      </c>
      <c r="AA39" s="11" t="s">
        <v>32</v>
      </c>
      <c r="AB39" s="12">
        <f t="shared" si="1"/>
        <v>0.39929400000000004</v>
      </c>
    </row>
    <row r="40" spans="1:28" s="4" customFormat="1" ht="13" x14ac:dyDescent="0.3">
      <c r="A40" s="5">
        <v>1142</v>
      </c>
      <c r="B40" s="6" t="s">
        <v>143</v>
      </c>
      <c r="C40" s="7">
        <v>43741</v>
      </c>
      <c r="D40" s="5">
        <v>32</v>
      </c>
      <c r="E40" s="9" t="s">
        <v>34</v>
      </c>
      <c r="F40" s="8" t="s">
        <v>144</v>
      </c>
      <c r="G40" s="9" t="s">
        <v>145</v>
      </c>
      <c r="H40" s="8" t="str">
        <f>"000017"</f>
        <v>000017</v>
      </c>
      <c r="I40" s="7">
        <v>43585</v>
      </c>
      <c r="J40" s="8" t="str">
        <f>"000092"</f>
        <v>000092</v>
      </c>
      <c r="K40" s="7">
        <v>43693</v>
      </c>
      <c r="L40" s="8" t="str">
        <f>"000122"</f>
        <v>000122</v>
      </c>
      <c r="M40" s="7">
        <v>43694</v>
      </c>
      <c r="N40" s="8">
        <v>19</v>
      </c>
      <c r="O40" s="8" t="str">
        <f>"005453"</f>
        <v>005453</v>
      </c>
      <c r="P40" s="7">
        <v>43738</v>
      </c>
      <c r="Q40" s="10">
        <v>44.951700000000002</v>
      </c>
      <c r="R40" s="10">
        <v>4.4760499999999999</v>
      </c>
      <c r="S40" s="10">
        <v>40.475650000000002</v>
      </c>
      <c r="T40" s="8">
        <v>13</v>
      </c>
      <c r="U40" s="7">
        <v>43741</v>
      </c>
      <c r="V40" s="8">
        <v>9449575753</v>
      </c>
      <c r="W40" s="9" t="s">
        <v>33</v>
      </c>
      <c r="X40" s="8" t="s">
        <v>51</v>
      </c>
      <c r="Y40" s="9" t="s">
        <v>52</v>
      </c>
      <c r="Z40" s="8" t="s">
        <v>31</v>
      </c>
      <c r="AA40" s="9" t="s">
        <v>32</v>
      </c>
      <c r="AB40" s="10">
        <v>0.449517</v>
      </c>
    </row>
    <row r="41" spans="1:28" s="4" customFormat="1" ht="13" x14ac:dyDescent="0.3">
      <c r="A41" s="5">
        <v>1143</v>
      </c>
      <c r="B41" s="6" t="s">
        <v>143</v>
      </c>
      <c r="C41" s="7">
        <v>43741</v>
      </c>
      <c r="D41" s="5">
        <v>32</v>
      </c>
      <c r="E41" s="9" t="s">
        <v>34</v>
      </c>
      <c r="F41" s="8" t="s">
        <v>146</v>
      </c>
      <c r="G41" s="9" t="s">
        <v>147</v>
      </c>
      <c r="H41" s="8" t="str">
        <f>"000015"</f>
        <v>000015</v>
      </c>
      <c r="I41" s="7">
        <v>43585</v>
      </c>
      <c r="J41" s="8" t="str">
        <f>"000093"</f>
        <v>000093</v>
      </c>
      <c r="K41" s="7">
        <v>43693</v>
      </c>
      <c r="L41" s="8" t="str">
        <f>"000120"</f>
        <v>000120</v>
      </c>
      <c r="M41" s="7">
        <v>43694</v>
      </c>
      <c r="N41" s="8">
        <v>19</v>
      </c>
      <c r="O41" s="8" t="str">
        <f>"005454"</f>
        <v>005454</v>
      </c>
      <c r="P41" s="7">
        <v>43738</v>
      </c>
      <c r="Q41" s="10">
        <v>44.936140000000002</v>
      </c>
      <c r="R41" s="10">
        <v>4.4822899999999999</v>
      </c>
      <c r="S41" s="10">
        <v>40.453850000000003</v>
      </c>
      <c r="T41" s="8">
        <v>13</v>
      </c>
      <c r="U41" s="7">
        <v>43741</v>
      </c>
      <c r="V41" s="8">
        <v>9449575753</v>
      </c>
      <c r="W41" s="9" t="s">
        <v>33</v>
      </c>
      <c r="X41" s="8" t="s">
        <v>51</v>
      </c>
      <c r="Y41" s="9" t="s">
        <v>52</v>
      </c>
      <c r="Z41" s="8" t="s">
        <v>31</v>
      </c>
      <c r="AA41" s="9" t="s">
        <v>32</v>
      </c>
      <c r="AB41" s="10">
        <v>0.44936140000000002</v>
      </c>
    </row>
    <row r="42" spans="1:28" s="4" customFormat="1" ht="13" x14ac:dyDescent="0.3">
      <c r="A42" s="5">
        <v>1144</v>
      </c>
      <c r="B42" s="6" t="s">
        <v>143</v>
      </c>
      <c r="C42" s="7">
        <v>43741</v>
      </c>
      <c r="D42" s="5">
        <v>32</v>
      </c>
      <c r="E42" s="9" t="s">
        <v>34</v>
      </c>
      <c r="F42" s="8" t="s">
        <v>148</v>
      </c>
      <c r="G42" s="9" t="s">
        <v>149</v>
      </c>
      <c r="H42" s="8" t="str">
        <f>"000016"</f>
        <v>000016</v>
      </c>
      <c r="I42" s="7">
        <v>43585</v>
      </c>
      <c r="J42" s="8" t="str">
        <f>"000094"</f>
        <v>000094</v>
      </c>
      <c r="K42" s="7">
        <v>43693</v>
      </c>
      <c r="L42" s="8" t="str">
        <f>"000121"</f>
        <v>000121</v>
      </c>
      <c r="M42" s="7">
        <v>43694</v>
      </c>
      <c r="N42" s="8">
        <v>19</v>
      </c>
      <c r="O42" s="8" t="str">
        <f>"005455"</f>
        <v>005455</v>
      </c>
      <c r="P42" s="7">
        <v>43738</v>
      </c>
      <c r="Q42" s="10">
        <v>29.969249999999999</v>
      </c>
      <c r="R42" s="10">
        <v>3.2196600000000002</v>
      </c>
      <c r="S42" s="10">
        <v>26.749590000000001</v>
      </c>
      <c r="T42" s="8">
        <v>13</v>
      </c>
      <c r="U42" s="7">
        <v>43741</v>
      </c>
      <c r="V42" s="8">
        <v>9449575753</v>
      </c>
      <c r="W42" s="9" t="s">
        <v>33</v>
      </c>
      <c r="X42" s="8" t="s">
        <v>51</v>
      </c>
      <c r="Y42" s="9" t="s">
        <v>52</v>
      </c>
      <c r="Z42" s="8" t="s">
        <v>31</v>
      </c>
      <c r="AA42" s="9" t="s">
        <v>32</v>
      </c>
      <c r="AB42" s="10">
        <v>0.29969249999999997</v>
      </c>
    </row>
    <row r="43" spans="1:28" s="4" customFormat="1" ht="13" x14ac:dyDescent="0.3">
      <c r="A43" s="5">
        <v>1145</v>
      </c>
      <c r="B43" s="6" t="s">
        <v>143</v>
      </c>
      <c r="C43" s="7">
        <v>43761</v>
      </c>
      <c r="D43" s="5">
        <v>32</v>
      </c>
      <c r="E43" s="9" t="s">
        <v>34</v>
      </c>
      <c r="F43" s="8" t="s">
        <v>35</v>
      </c>
      <c r="G43" s="9" t="s">
        <v>36</v>
      </c>
      <c r="H43" s="8" t="str">
        <f>"000277"</f>
        <v>000277</v>
      </c>
      <c r="I43" s="7">
        <v>43481</v>
      </c>
      <c r="J43" s="8" t="str">
        <f>"000117"</f>
        <v>000117</v>
      </c>
      <c r="K43" s="7">
        <v>43707</v>
      </c>
      <c r="L43" s="8" t="str">
        <f>"000156"</f>
        <v>000156</v>
      </c>
      <c r="M43" s="7">
        <v>43714</v>
      </c>
      <c r="N43" s="8">
        <v>17</v>
      </c>
      <c r="O43" s="8" t="str">
        <f>"005820"</f>
        <v>005820</v>
      </c>
      <c r="P43" s="7">
        <v>43755</v>
      </c>
      <c r="Q43" s="10">
        <v>5.8310500000000003</v>
      </c>
      <c r="R43" s="10">
        <v>0.29798000000000002</v>
      </c>
      <c r="S43" s="10">
        <v>5.5330700000000004</v>
      </c>
      <c r="T43" s="8">
        <v>13</v>
      </c>
      <c r="U43" s="7">
        <v>43761</v>
      </c>
      <c r="V43" s="8">
        <v>9538004111</v>
      </c>
      <c r="W43" s="9" t="s">
        <v>33</v>
      </c>
      <c r="X43" s="8" t="s">
        <v>37</v>
      </c>
      <c r="Y43" s="9" t="s">
        <v>38</v>
      </c>
      <c r="Z43" s="8" t="s">
        <v>31</v>
      </c>
      <c r="AA43" s="9" t="s">
        <v>32</v>
      </c>
      <c r="AB43" s="10">
        <v>5.8310500000000001E-2</v>
      </c>
    </row>
    <row r="44" spans="1:28" s="4" customFormat="1" ht="13" x14ac:dyDescent="0.3">
      <c r="A44" s="5">
        <v>1146</v>
      </c>
      <c r="B44" s="6" t="s">
        <v>150</v>
      </c>
      <c r="C44" s="7">
        <v>43806</v>
      </c>
      <c r="D44" s="5">
        <v>32</v>
      </c>
      <c r="E44" s="9" t="s">
        <v>34</v>
      </c>
      <c r="F44" s="8" t="s">
        <v>151</v>
      </c>
      <c r="G44" s="9" t="s">
        <v>152</v>
      </c>
      <c r="H44" s="8" t="str">
        <f>"000151"</f>
        <v>000151</v>
      </c>
      <c r="I44" s="7">
        <v>43739</v>
      </c>
      <c r="J44" s="8" t="str">
        <f>"000137"</f>
        <v>000137</v>
      </c>
      <c r="K44" s="7">
        <v>43739</v>
      </c>
      <c r="L44" s="8" t="str">
        <f>"000171"</f>
        <v>000171</v>
      </c>
      <c r="M44" s="7">
        <v>43739</v>
      </c>
      <c r="N44" s="8">
        <v>17</v>
      </c>
      <c r="O44" s="8" t="str">
        <f>"006742"</f>
        <v>006742</v>
      </c>
      <c r="P44" s="7">
        <v>43810</v>
      </c>
      <c r="Q44" s="10">
        <v>46.128500000000003</v>
      </c>
      <c r="R44" s="10">
        <v>7.3077699999999997</v>
      </c>
      <c r="S44" s="10">
        <v>38.820729999999998</v>
      </c>
      <c r="T44" s="8">
        <v>13</v>
      </c>
      <c r="U44" s="7">
        <v>43806</v>
      </c>
      <c r="V44" s="8">
        <v>9141237503</v>
      </c>
      <c r="W44" s="9" t="s">
        <v>80</v>
      </c>
      <c r="X44" s="8" t="s">
        <v>37</v>
      </c>
      <c r="Y44" s="9" t="s">
        <v>38</v>
      </c>
      <c r="Z44" s="8" t="s">
        <v>31</v>
      </c>
      <c r="AA44" s="9" t="s">
        <v>32</v>
      </c>
      <c r="AB44" s="10">
        <v>0.461285</v>
      </c>
    </row>
    <row r="45" spans="1:28" s="4" customFormat="1" ht="13" x14ac:dyDescent="0.3">
      <c r="A45" s="5">
        <v>1147</v>
      </c>
      <c r="B45" s="6" t="s">
        <v>150</v>
      </c>
      <c r="C45" s="7">
        <v>43816</v>
      </c>
      <c r="D45" s="5">
        <v>32</v>
      </c>
      <c r="E45" s="9" t="s">
        <v>34</v>
      </c>
      <c r="F45" s="8" t="s">
        <v>151</v>
      </c>
      <c r="G45" s="9" t="s">
        <v>152</v>
      </c>
      <c r="H45" s="8" t="str">
        <f>"000151"</f>
        <v>000151</v>
      </c>
      <c r="I45" s="7">
        <v>43739</v>
      </c>
      <c r="J45" s="8" t="str">
        <f>"000137"</f>
        <v>000137</v>
      </c>
      <c r="K45" s="7">
        <v>43739</v>
      </c>
      <c r="L45" s="8" t="str">
        <f>"000171"</f>
        <v>000171</v>
      </c>
      <c r="M45" s="7">
        <v>43739</v>
      </c>
      <c r="N45" s="8">
        <v>17</v>
      </c>
      <c r="O45" s="8" t="str">
        <f>"006742"</f>
        <v>006742</v>
      </c>
      <c r="P45" s="7">
        <v>43810</v>
      </c>
      <c r="Q45" s="10">
        <v>1.2581</v>
      </c>
      <c r="R45" s="10">
        <v>0.17424999999999999</v>
      </c>
      <c r="S45" s="10">
        <v>1.08385</v>
      </c>
      <c r="T45" s="8">
        <v>13</v>
      </c>
      <c r="U45" s="7">
        <v>43816</v>
      </c>
      <c r="V45" s="8">
        <v>9141237503</v>
      </c>
      <c r="W45" s="9" t="s">
        <v>80</v>
      </c>
      <c r="X45" s="8" t="s">
        <v>37</v>
      </c>
      <c r="Y45" s="9" t="s">
        <v>38</v>
      </c>
      <c r="Z45" s="8" t="s">
        <v>31</v>
      </c>
      <c r="AA45" s="9" t="s">
        <v>32</v>
      </c>
      <c r="AB45" s="10">
        <v>1.2581E-2</v>
      </c>
    </row>
    <row r="46" spans="1:28" s="4" customFormat="1" ht="13" x14ac:dyDescent="0.3">
      <c r="A46" s="5">
        <v>1148</v>
      </c>
      <c r="B46" s="6" t="s">
        <v>150</v>
      </c>
      <c r="C46" s="7">
        <v>43816</v>
      </c>
      <c r="D46" s="5">
        <v>32</v>
      </c>
      <c r="E46" s="9" t="s">
        <v>34</v>
      </c>
      <c r="F46" s="8" t="s">
        <v>153</v>
      </c>
      <c r="G46" s="9" t="s">
        <v>154</v>
      </c>
      <c r="H46" s="8" t="str">
        <f>"000198"</f>
        <v>000198</v>
      </c>
      <c r="I46" s="7">
        <v>43399</v>
      </c>
      <c r="J46" s="8" t="str">
        <f>"000160"</f>
        <v>000160</v>
      </c>
      <c r="K46" s="7">
        <v>43788</v>
      </c>
      <c r="L46" s="8" t="str">
        <f>"000201"</f>
        <v>000201</v>
      </c>
      <c r="M46" s="7">
        <v>43788</v>
      </c>
      <c r="N46" s="8">
        <v>18</v>
      </c>
      <c r="O46" s="8" t="str">
        <f>"006801"</f>
        <v>006801</v>
      </c>
      <c r="P46" s="7">
        <v>43811</v>
      </c>
      <c r="Q46" s="10">
        <v>34.882289999999998</v>
      </c>
      <c r="R46" s="10">
        <v>3.5866799999999999</v>
      </c>
      <c r="S46" s="10">
        <v>31.29561</v>
      </c>
      <c r="T46" s="8">
        <v>13</v>
      </c>
      <c r="U46" s="7">
        <v>43816</v>
      </c>
      <c r="V46" s="8">
        <v>9620746150</v>
      </c>
      <c r="W46" s="9" t="s">
        <v>33</v>
      </c>
      <c r="X46" s="8" t="s">
        <v>141</v>
      </c>
      <c r="Y46" s="9" t="s">
        <v>142</v>
      </c>
      <c r="Z46" s="8" t="s">
        <v>31</v>
      </c>
      <c r="AA46" s="9" t="s">
        <v>32</v>
      </c>
      <c r="AB46" s="10">
        <v>0.34882289999999999</v>
      </c>
    </row>
    <row r="47" spans="1:28" s="4" customFormat="1" ht="13" x14ac:dyDescent="0.3">
      <c r="A47" s="5">
        <v>1149</v>
      </c>
      <c r="B47" s="6" t="s">
        <v>150</v>
      </c>
      <c r="C47" s="7">
        <v>43818</v>
      </c>
      <c r="D47" s="5">
        <v>32</v>
      </c>
      <c r="E47" s="9" t="s">
        <v>34</v>
      </c>
      <c r="F47" s="8" t="s">
        <v>155</v>
      </c>
      <c r="G47" s="9" t="s">
        <v>156</v>
      </c>
      <c r="H47" s="8" t="str">
        <f>"000149"</f>
        <v>000149</v>
      </c>
      <c r="I47" s="7">
        <v>43738</v>
      </c>
      <c r="J47" s="8" t="str">
        <f>"000148"</f>
        <v>000148</v>
      </c>
      <c r="K47" s="7">
        <v>43777</v>
      </c>
      <c r="L47" s="8" t="str">
        <f>"000193"</f>
        <v>000193</v>
      </c>
      <c r="M47" s="7">
        <v>43782</v>
      </c>
      <c r="N47" s="8">
        <v>19</v>
      </c>
      <c r="O47" s="8" t="str">
        <f>"006856"</f>
        <v>006856</v>
      </c>
      <c r="P47" s="7">
        <v>43816</v>
      </c>
      <c r="Q47" s="10">
        <v>48.661349999999999</v>
      </c>
      <c r="R47" s="10">
        <v>5.2282599999999997</v>
      </c>
      <c r="S47" s="10">
        <v>43.43309</v>
      </c>
      <c r="T47" s="8">
        <v>13</v>
      </c>
      <c r="U47" s="7">
        <v>43818</v>
      </c>
      <c r="V47" s="8">
        <v>9900980808</v>
      </c>
      <c r="W47" s="9" t="s">
        <v>80</v>
      </c>
      <c r="X47" s="8" t="s">
        <v>51</v>
      </c>
      <c r="Y47" s="9" t="s">
        <v>52</v>
      </c>
      <c r="Z47" s="8" t="s">
        <v>31</v>
      </c>
      <c r="AA47" s="9" t="s">
        <v>32</v>
      </c>
      <c r="AB47" s="10">
        <v>0.48661349999999998</v>
      </c>
    </row>
    <row r="48" spans="1:28" s="4" customFormat="1" ht="13" x14ac:dyDescent="0.3">
      <c r="A48" s="5">
        <v>1150</v>
      </c>
      <c r="B48" s="6" t="s">
        <v>150</v>
      </c>
      <c r="C48" s="7">
        <v>43818</v>
      </c>
      <c r="D48" s="5">
        <v>32</v>
      </c>
      <c r="E48" s="9" t="s">
        <v>34</v>
      </c>
      <c r="F48" s="8" t="s">
        <v>157</v>
      </c>
      <c r="G48" s="9" t="s">
        <v>158</v>
      </c>
      <c r="H48" s="8" t="str">
        <f>"000150"</f>
        <v>000150</v>
      </c>
      <c r="I48" s="7">
        <v>43738</v>
      </c>
      <c r="J48" s="8" t="str">
        <f>"000149"</f>
        <v>000149</v>
      </c>
      <c r="K48" s="7">
        <v>43777</v>
      </c>
      <c r="L48" s="8" t="str">
        <f>"000194"</f>
        <v>000194</v>
      </c>
      <c r="M48" s="7">
        <v>43782</v>
      </c>
      <c r="N48" s="8">
        <v>19</v>
      </c>
      <c r="O48" s="8" t="str">
        <f>"006857"</f>
        <v>006857</v>
      </c>
      <c r="P48" s="7">
        <v>43816</v>
      </c>
      <c r="Q48" s="10">
        <v>48.72052</v>
      </c>
      <c r="R48" s="10">
        <v>5.2154400000000001</v>
      </c>
      <c r="S48" s="10">
        <v>43.50508</v>
      </c>
      <c r="T48" s="8">
        <v>13</v>
      </c>
      <c r="U48" s="7">
        <v>43818</v>
      </c>
      <c r="V48" s="8">
        <v>9900980808</v>
      </c>
      <c r="W48" s="9" t="s">
        <v>80</v>
      </c>
      <c r="X48" s="8" t="s">
        <v>51</v>
      </c>
      <c r="Y48" s="9" t="s">
        <v>52</v>
      </c>
      <c r="Z48" s="8" t="s">
        <v>31</v>
      </c>
      <c r="AA48" s="9" t="s">
        <v>32</v>
      </c>
      <c r="AB48" s="10">
        <v>0.4872052</v>
      </c>
    </row>
    <row r="49" spans="1:28" s="4" customFormat="1" ht="13" x14ac:dyDescent="0.3">
      <c r="A49" s="5">
        <v>1151</v>
      </c>
      <c r="B49" s="6" t="s">
        <v>150</v>
      </c>
      <c r="C49" s="7">
        <v>43818</v>
      </c>
      <c r="D49" s="5">
        <v>32</v>
      </c>
      <c r="E49" s="9" t="s">
        <v>34</v>
      </c>
      <c r="F49" s="8" t="s">
        <v>159</v>
      </c>
      <c r="G49" s="9" t="s">
        <v>160</v>
      </c>
      <c r="H49" s="8" t="str">
        <f>"000273"</f>
        <v>000273</v>
      </c>
      <c r="I49" s="7">
        <v>43470</v>
      </c>
      <c r="J49" s="8" t="str">
        <f>"000161"</f>
        <v>000161</v>
      </c>
      <c r="K49" s="7">
        <v>43788</v>
      </c>
      <c r="L49" s="8" t="str">
        <f>"000202"</f>
        <v>000202</v>
      </c>
      <c r="M49" s="7">
        <v>43788</v>
      </c>
      <c r="N49" s="8">
        <v>18</v>
      </c>
      <c r="O49" s="8" t="str">
        <f>"006839"</f>
        <v>006839</v>
      </c>
      <c r="P49" s="7">
        <v>43815</v>
      </c>
      <c r="Q49" s="10">
        <v>67.185540000000003</v>
      </c>
      <c r="R49" s="10">
        <v>6.8178099999999997</v>
      </c>
      <c r="S49" s="10">
        <v>60.367730000000002</v>
      </c>
      <c r="T49" s="8">
        <v>13</v>
      </c>
      <c r="U49" s="7">
        <v>43818</v>
      </c>
      <c r="V49" s="8">
        <v>9880361135</v>
      </c>
      <c r="W49" s="9" t="s">
        <v>33</v>
      </c>
      <c r="X49" s="8" t="s">
        <v>161</v>
      </c>
      <c r="Y49" s="9" t="s">
        <v>162</v>
      </c>
      <c r="Z49" s="8" t="s">
        <v>31</v>
      </c>
      <c r="AA49" s="9" t="s">
        <v>32</v>
      </c>
      <c r="AB49" s="10">
        <v>0.67185539999999999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2020-01-28T11:42:48Z</dcterms:modified>
</cp:coreProperties>
</file>