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4" i="1" l="1"/>
  <c r="L34" i="1"/>
  <c r="J34" i="1"/>
  <c r="H34" i="1"/>
  <c r="O33" i="1"/>
  <c r="L33" i="1"/>
  <c r="J33" i="1"/>
  <c r="H33" i="1"/>
  <c r="O32" i="1"/>
  <c r="L32" i="1"/>
  <c r="J32" i="1"/>
  <c r="H32" i="1"/>
  <c r="O31" i="1"/>
  <c r="L31" i="1"/>
  <c r="J31" i="1"/>
  <c r="H31" i="1"/>
  <c r="O30" i="1"/>
  <c r="L30" i="1"/>
  <c r="J30" i="1"/>
  <c r="H30" i="1"/>
  <c r="O29" i="1"/>
  <c r="L29" i="1"/>
  <c r="J29" i="1"/>
  <c r="H29" i="1"/>
  <c r="O28" i="1"/>
  <c r="L28" i="1"/>
  <c r="J28" i="1"/>
  <c r="H28" i="1"/>
  <c r="O27" i="1"/>
  <c r="L27" i="1"/>
  <c r="J27" i="1"/>
  <c r="H27" i="1"/>
  <c r="O26" i="1"/>
  <c r="L26" i="1"/>
  <c r="J26" i="1"/>
  <c r="H26" i="1"/>
  <c r="O25" i="1"/>
  <c r="L25" i="1"/>
  <c r="J25" i="1"/>
  <c r="H25" i="1"/>
  <c r="O24" i="1"/>
  <c r="L24" i="1"/>
  <c r="J24" i="1"/>
  <c r="H24" i="1"/>
  <c r="O23" i="1"/>
  <c r="L23" i="1"/>
  <c r="J23" i="1"/>
  <c r="H23" i="1"/>
  <c r="O22" i="1"/>
  <c r="L22" i="1"/>
  <c r="J22" i="1"/>
  <c r="H22" i="1"/>
  <c r="AB21" i="1"/>
  <c r="O21" i="1"/>
  <c r="L21" i="1"/>
  <c r="J21" i="1"/>
  <c r="H21" i="1"/>
  <c r="AB20" i="1"/>
  <c r="O20" i="1"/>
  <c r="L20" i="1"/>
  <c r="J20" i="1"/>
  <c r="H20" i="1"/>
  <c r="AB19" i="1"/>
  <c r="O19" i="1"/>
  <c r="L19" i="1"/>
  <c r="J19" i="1"/>
  <c r="H19" i="1"/>
  <c r="AB18" i="1"/>
  <c r="O18" i="1"/>
  <c r="L18" i="1"/>
  <c r="J18" i="1"/>
  <c r="H18" i="1"/>
  <c r="AB17" i="1"/>
  <c r="O17" i="1"/>
  <c r="L17" i="1"/>
  <c r="J17" i="1"/>
  <c r="H17" i="1"/>
  <c r="AB16" i="1"/>
  <c r="O16" i="1"/>
  <c r="L16" i="1"/>
  <c r="J16" i="1"/>
  <c r="H16" i="1"/>
  <c r="AB15" i="1"/>
  <c r="O15" i="1"/>
  <c r="L15" i="1"/>
  <c r="J15" i="1"/>
  <c r="H15" i="1"/>
  <c r="AB14" i="1"/>
  <c r="O14" i="1"/>
  <c r="L14" i="1"/>
  <c r="J14" i="1"/>
  <c r="H14" i="1"/>
  <c r="AB13" i="1"/>
  <c r="O13" i="1"/>
  <c r="L13" i="1"/>
  <c r="J13" i="1"/>
  <c r="H13" i="1"/>
  <c r="AB12" i="1"/>
  <c r="O12" i="1"/>
  <c r="L12" i="1"/>
  <c r="J12" i="1"/>
  <c r="H12" i="1"/>
  <c r="AB11" i="1"/>
  <c r="O11" i="1"/>
  <c r="L11" i="1"/>
  <c r="J11" i="1"/>
  <c r="H11" i="1"/>
  <c r="AB10" i="1"/>
  <c r="O10" i="1"/>
  <c r="L10" i="1"/>
  <c r="J10" i="1"/>
  <c r="H10" i="1"/>
  <c r="AB9"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<sst xmlns="http://schemas.openxmlformats.org/spreadsheetml/2006/main" count="325" uniqueCount="123">
  <si>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</si>
  <si>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</si>
  <si>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</si>
  <si>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</si>
  <si>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</si>
  <si>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</si>
  <si>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</si>
  <si>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</si>
  <si>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</si>
  <si>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</si>
  <si>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</si>
  <si>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</si>
  <si>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</si>
  <si>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</si>
  <si>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</si>
  <si>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</si>
  <si>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</si>
  <si>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</si>
  <si>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</si>
  <si>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</si>
  <si>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</si>
  <si>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</si>
  <si>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</si>
  <si>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</si>
  <si>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</si>
  <si>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</si>
  <si>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</si>
  <si>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</si>
  <si>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</si>
  <si>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P0300</t>
  </si>
  <si>
    <t>M and R to Street Lights - Replacement of Burnt Bulbs etc. (Package)</t>
  </si>
  <si>
    <t>P1771</t>
  </si>
  <si>
    <t>Zone Works - POW Works</t>
  </si>
  <si>
    <t>May</t>
  </si>
  <si>
    <t>ddo089</t>
  </si>
  <si>
    <t xml:space="preserve"> Assistant Executive Engineer Electrical East Zone</t>
  </si>
  <si>
    <t>M/s KRIDL</t>
  </si>
  <si>
    <t>Manorayana Palya</t>
  </si>
  <si>
    <t>033-17-000058</t>
  </si>
  <si>
    <t>Providing LED lights and Poles in ward no 33 Manorayanapalya</t>
  </si>
  <si>
    <t>P2178</t>
  </si>
  <si>
    <t>Works sanctioned by Dy. Mayor</t>
  </si>
  <si>
    <t>033-16-000001</t>
  </si>
  <si>
    <t>Operation and Maintenance of street lights at Manorayana palya area ward no 33 Package E5 for one year.</t>
  </si>
  <si>
    <t>M/s.Chaitanya Electricals</t>
  </si>
  <si>
    <t>033-17-000018</t>
  </si>
  <si>
    <t>Providing Cement concrete roads and road cut portions at Chamundinagar and surroundings in Ward No.33</t>
  </si>
  <si>
    <t>L.Gangadhar</t>
  </si>
  <si>
    <t>ddo078</t>
  </si>
  <si>
    <t xml:space="preserve"> Assistant Executive Engineer J C Nagar East Zone</t>
  </si>
  <si>
    <t>July</t>
  </si>
  <si>
    <t>033-17-000026</t>
  </si>
  <si>
    <t>Providing LED Lights and Poles in ward no 33</t>
  </si>
  <si>
    <t>M/s.KRIDL</t>
  </si>
  <si>
    <t>P3172</t>
  </si>
  <si>
    <t>Special Development works in ward No.177,78,97, 57,99,100,68,11,126,168, 113,02, 181,03, 21,33,23,24,27 ,59,53,57,81,47, 45,72, 50,91,92,117,145,146,147,148,151,152, 122,134, 157, 84,85,150,163, 179,180, 170, 171, 175,176, 173,174, 186,189, 190,193,185,191,194, 195,196, 127, (Rs.200 lakhs each ward)</t>
  </si>
  <si>
    <t>033-18-000074</t>
  </si>
  <si>
    <t>Providing LED street lights fittings Timers and connected accessories to Chamundi nagar and surrounding areas in ward no 33</t>
  </si>
  <si>
    <t>P0190</t>
  </si>
  <si>
    <t>Works sanctioned by Hon Mayor</t>
  </si>
  <si>
    <t>033-18-000073</t>
  </si>
  <si>
    <t>Providing LED street lights fittings Timers and connected accessories to Rahmathnagar and surrounding areas in ward no 33</t>
  </si>
  <si>
    <t>033-18-000075</t>
  </si>
  <si>
    <t>Providing LED street lights fittings Timers and connected accessories to Seethappa layout and surrounding areas in ward no 33</t>
  </si>
  <si>
    <t>033-18-000078</t>
  </si>
  <si>
    <t>Providing LED Lights Timers to Kousar Nagara and Dinnur and surrounding areas in ward no 33</t>
  </si>
  <si>
    <t>033-18-000077</t>
  </si>
  <si>
    <t>Providing LED Lights Timers to Manjunatha layout and surrounding areas in ward no 33</t>
  </si>
  <si>
    <t>033-18-000079</t>
  </si>
  <si>
    <t>Providing LED Lights Timers to Dasappa Garden and surrounding areas in ward no 33</t>
  </si>
  <si>
    <t>August</t>
  </si>
  <si>
    <t>033-17-000023</t>
  </si>
  <si>
    <t>Comprehensive Development including Asphalting and Concreting to roads and improvements of drains Drilling of borewells and Changing of Pipeline to existing borewells at Bhuvaneshwari Nagar 1st 2nd 3rd 4th and 5th main road and surrounding areas in ward no 33</t>
  </si>
  <si>
    <t>RAGHAVENDRA</t>
  </si>
  <si>
    <t>033-17-000024</t>
  </si>
  <si>
    <t>Comprehensive Development including Asphalting and Concreting to roads and improvements of drains Drilling of borewells and Changing of Pipeline to existing borewells at Bhuvaneshwari Nagar 1st 2nd 3rd 4th and 5th Cross road and surrounding areas in ward no 33</t>
  </si>
  <si>
    <t>033-17-000030</t>
  </si>
  <si>
    <t>Comprehensive Development including Asphalting and Concret to roads and improvements of drains Drilling of borewells and Changing of Pipeline to existing borewells at4th cross Chamundi Nagar and Jalagaramma temple Chamundi Nagar and surrounding areas in ward no 33</t>
  </si>
  <si>
    <t>L GANGADHAR</t>
  </si>
  <si>
    <t>P3120</t>
  </si>
  <si>
    <t>Developmental works at ward 47, 57, 63, 66, 68 , 154 and 171, 33, 9, (Rs.2 Cr each)</t>
  </si>
  <si>
    <t>033-17-000028</t>
  </si>
  <si>
    <t>Comprehensive Development including Asphalting and Concret to roads and improvements of drains Drilling of borewells and Changing of Pipeline to existing borewells at Manjunatha Layout 1st 2nd 3rd 4th and 5th Main and Cross road and surrounding areas in ward no 33</t>
  </si>
  <si>
    <t>033-17-000032</t>
  </si>
  <si>
    <t>Comprehensive Development including Concret to roads and improvements of drains Changing of Pipeline to existing borewells Dharmanna garden and surrounding areas in ward no 33</t>
  </si>
  <si>
    <t>033-17-000016</t>
  </si>
  <si>
    <t>Providing Cement concrete roads and road cut portions at Kousar nagar and Dinnur in Ward No.33</t>
  </si>
  <si>
    <t>033-17-000022</t>
  </si>
  <si>
    <t>Comprehensive Development including Concrete to roads and improvements of drains, Drilling of Borewells and Changing of Pipeline to existing Borewells at Seethappa layout 6th 7th and 8th cross road and surrounding areas in ward no 33</t>
  </si>
  <si>
    <t>November</t>
  </si>
  <si>
    <t>033-18-000021</t>
  </si>
  <si>
    <t>Improvements of Roads and Drains at 4th Cross Rahamath Nagar and Surrounding areas in ward 33</t>
  </si>
  <si>
    <t>K SHANKAR REDDY</t>
  </si>
  <si>
    <t>P3333</t>
  </si>
  <si>
    <t>Special Development works at Ward No.07,08,21,33,58,66,68,75,76,91,94,95,110,116,153,180,190,198,88,18 ( 20 wards Rs.5.00 Cr. Each)</t>
  </si>
  <si>
    <t>033-18-000040</t>
  </si>
  <si>
    <t>Improvements and Construction of Culverts in Chamundi Nagar and surrounding areas in ward no 33</t>
  </si>
  <si>
    <t>033-18-000042</t>
  </si>
  <si>
    <t>Improvements and Construction of Culverts in Venkataswamappa Layout and surrounding areas in ward no 33</t>
  </si>
  <si>
    <t>033-18-000041</t>
  </si>
  <si>
    <t>Improvements and Construction of Culverts in Seethappa Layout and surrounding areas in ward no 33</t>
  </si>
  <si>
    <t>033-18-000038</t>
  </si>
  <si>
    <t>Improvements and Construction of Culverts in Rahamath Nagar and surrounding areas in ward no 33</t>
  </si>
  <si>
    <t>033-18-000076</t>
  </si>
  <si>
    <t>Providing LED street lights fittings Timers and connected accessories to Bhuvaneshwarinagar and surrounding areas in ward no 33</t>
  </si>
  <si>
    <t>December</t>
  </si>
  <si>
    <t>033-18-000013</t>
  </si>
  <si>
    <t>Providing repair to individual toilets of Religous places in ward no 33</t>
  </si>
  <si>
    <t>KRIDL</t>
  </si>
  <si>
    <t>P3294</t>
  </si>
  <si>
    <t>14th Finance Commission Works - General Public ToiletandSeptage Maintenance</t>
  </si>
  <si>
    <t>033-18-000016</t>
  </si>
  <si>
    <t>Construction of Retaining wall and Desilting of SWD in ward no 33</t>
  </si>
  <si>
    <t>P3297</t>
  </si>
  <si>
    <t>14th Finance Commission Grants - SWD Works</t>
  </si>
  <si>
    <t>033-18-000011</t>
  </si>
  <si>
    <t>Development of R T Nagar park in ward no 33</t>
  </si>
  <si>
    <t>P3292</t>
  </si>
  <si>
    <t>14th Finance Commission Works - Community Property Maintenance (including Parks)</t>
  </si>
  <si>
    <t>033-18-000017</t>
  </si>
  <si>
    <t>Providing Diust Bins to individual houses in ward no 33</t>
  </si>
  <si>
    <t>P3298</t>
  </si>
  <si>
    <t>14th Finance Commission Works - SWM Works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</si>
</sst>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4"/>
  <sheetViews>
    <sheetView tabSelected="1" workbookViewId="0">
      <selection activeCell="B1" sqref="B1"/>
    </sheetView>
  </sheetViews>
  <sheetFormatPr defaultRowHeight="14.5" x14ac:dyDescent="0.35"/>
  <cols>
    <col min="1" max="1" width="5" bestFit="1" customWidth="1"/>
    <col min="2" max="2" width="8.26953125" bestFit="1" customWidth="1"/>
    <col min="3" max="3" width="8.6328125" bestFit="1" customWidth="1"/>
    <col min="4" max="4" width="8.08984375" bestFit="1" customWidth="1"/>
    <col min="5" max="5" width="14.36328125" bestFit="1" customWidth="1"/>
    <col min="6" max="6" width="12.0898437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s="4" customFormat="1" ht="13" x14ac:dyDescent="0.3">
      <c r="A2" s="5">
        <v>1152</v>
      </c>
      <c r="B2" s="6" t="s">
        <v>28</v>
      </c>
      <c r="C2" s="7">
        <v>43575</v>
      </c>
      <c r="D2" s="8">
        <v>33</v>
      </c>
      <c r="E2" s="9" t="s">
        <v>37</v>
      </c>
      <c r="F2" s="8" t="s">
        <v>38</v>
      </c>
      <c r="G2" s="9" t="s">
        <v>39</v>
      </c>
      <c r="H2" s="8" t="str">
        <f>"000105"</f>
        <v>000105</v>
      </c>
      <c r="I2" s="7">
        <v>43129</v>
      </c>
      <c r="J2" s="8" t="str">
        <f>"000133"</f>
        <v>000133</v>
      </c>
      <c r="K2" s="7">
        <v>43129</v>
      </c>
      <c r="L2" s="8" t="str">
        <f>"000122"</f>
        <v>000122</v>
      </c>
      <c r="M2" s="7">
        <v>43129</v>
      </c>
      <c r="N2" s="8">
        <v>17</v>
      </c>
      <c r="O2" s="8" t="str">
        <f>"000485"</f>
        <v>000485</v>
      </c>
      <c r="P2" s="7">
        <v>43567</v>
      </c>
      <c r="Q2" s="10">
        <v>24.602070000000001</v>
      </c>
      <c r="R2" s="10">
        <v>3.1005600000000002</v>
      </c>
      <c r="S2" s="10">
        <v>21.50151</v>
      </c>
      <c r="T2" s="8">
        <v>21</v>
      </c>
      <c r="U2" s="7">
        <v>43575</v>
      </c>
      <c r="V2" s="8">
        <v>8880046443</v>
      </c>
      <c r="W2" s="9" t="s">
        <v>36</v>
      </c>
      <c r="X2" s="8" t="s">
        <v>40</v>
      </c>
      <c r="Y2" s="9" t="s">
        <v>41</v>
      </c>
      <c r="Z2" s="8" t="s">
        <v>34</v>
      </c>
      <c r="AA2" s="9" t="s">
        <v>35</v>
      </c>
      <c r="AB2" s="10">
        <f t="shared" ref="AB2:AB21" si="0">Q2/100</f>
        <v>0.24602070000000001</v>
      </c>
    </row>
    <row r="3" spans="1:28" s="4" customFormat="1" ht="13" x14ac:dyDescent="0.3">
      <c r="A3" s="5">
        <v>1153</v>
      </c>
      <c r="B3" s="6" t="s">
        <v>28</v>
      </c>
      <c r="C3" s="7">
        <v>43580</v>
      </c>
      <c r="D3" s="8">
        <v>33</v>
      </c>
      <c r="E3" s="9" t="s">
        <v>37</v>
      </c>
      <c r="F3" s="8" t="s">
        <v>42</v>
      </c>
      <c r="G3" s="9" t="s">
        <v>43</v>
      </c>
      <c r="H3" s="8" t="str">
        <f>"000017"</f>
        <v>000017</v>
      </c>
      <c r="I3" s="7">
        <v>42947</v>
      </c>
      <c r="J3" s="8" t="str">
        <f>"000225"</f>
        <v>000225</v>
      </c>
      <c r="K3" s="7">
        <v>43515</v>
      </c>
      <c r="L3" s="8" t="str">
        <f>"000226"</f>
        <v>000226</v>
      </c>
      <c r="M3" s="7">
        <v>43516</v>
      </c>
      <c r="N3" s="8">
        <v>16</v>
      </c>
      <c r="O3" s="8" t="str">
        <f>"001372"</f>
        <v>001372</v>
      </c>
      <c r="P3" s="7">
        <v>43593</v>
      </c>
      <c r="Q3" s="10">
        <v>2.7426499999999998</v>
      </c>
      <c r="R3" s="10">
        <v>0.35322999999999999</v>
      </c>
      <c r="S3" s="10">
        <v>2.3894199999999999</v>
      </c>
      <c r="T3" s="8">
        <v>29</v>
      </c>
      <c r="U3" s="7">
        <v>43580</v>
      </c>
      <c r="V3" s="8">
        <v>9845267052</v>
      </c>
      <c r="W3" s="9" t="s">
        <v>44</v>
      </c>
      <c r="X3" s="8" t="s">
        <v>29</v>
      </c>
      <c r="Y3" s="9" t="s">
        <v>30</v>
      </c>
      <c r="Z3" s="8" t="s">
        <v>34</v>
      </c>
      <c r="AA3" s="9" t="s">
        <v>35</v>
      </c>
      <c r="AB3" s="10">
        <f t="shared" si="0"/>
        <v>2.7426499999999999E-2</v>
      </c>
    </row>
    <row r="4" spans="1:28" s="4" customFormat="1" ht="13" x14ac:dyDescent="0.3">
      <c r="A4" s="5">
        <v>1154</v>
      </c>
      <c r="B4" s="6" t="s">
        <v>33</v>
      </c>
      <c r="C4" s="7">
        <v>43598</v>
      </c>
      <c r="D4" s="8">
        <v>33</v>
      </c>
      <c r="E4" s="9" t="s">
        <v>37</v>
      </c>
      <c r="F4" s="8" t="s">
        <v>42</v>
      </c>
      <c r="G4" s="9" t="s">
        <v>43</v>
      </c>
      <c r="H4" s="8" t="str">
        <f>"000017"</f>
        <v>000017</v>
      </c>
      <c r="I4" s="7">
        <v>42947</v>
      </c>
      <c r="J4" s="8" t="str">
        <f>"000225"</f>
        <v>000225</v>
      </c>
      <c r="K4" s="7">
        <v>43515</v>
      </c>
      <c r="L4" s="8" t="str">
        <f>"000226"</f>
        <v>000226</v>
      </c>
      <c r="M4" s="7">
        <v>43516</v>
      </c>
      <c r="N4" s="8">
        <v>16</v>
      </c>
      <c r="O4" s="8" t="str">
        <f>"001372"</f>
        <v>001372</v>
      </c>
      <c r="P4" s="7">
        <v>43593</v>
      </c>
      <c r="Q4" s="10">
        <v>9.68459</v>
      </c>
      <c r="R4" s="10">
        <v>1.2988299999999999</v>
      </c>
      <c r="S4" s="10">
        <v>8.3857599999999994</v>
      </c>
      <c r="T4" s="8">
        <v>43</v>
      </c>
      <c r="U4" s="7">
        <v>43598</v>
      </c>
      <c r="V4" s="8">
        <v>9845267052</v>
      </c>
      <c r="W4" s="9" t="s">
        <v>44</v>
      </c>
      <c r="X4" s="8" t="s">
        <v>29</v>
      </c>
      <c r="Y4" s="9" t="s">
        <v>30</v>
      </c>
      <c r="Z4" s="8" t="s">
        <v>34</v>
      </c>
      <c r="AA4" s="9" t="s">
        <v>35</v>
      </c>
      <c r="AB4" s="10">
        <f t="shared" si="0"/>
        <v>9.6845899999999999E-2</v>
      </c>
    </row>
    <row r="5" spans="1:28" s="4" customFormat="1" ht="13" x14ac:dyDescent="0.3">
      <c r="A5" s="5">
        <v>1155</v>
      </c>
      <c r="B5" s="6" t="s">
        <v>33</v>
      </c>
      <c r="C5" s="7">
        <v>43609</v>
      </c>
      <c r="D5" s="8">
        <v>33</v>
      </c>
      <c r="E5" s="9" t="s">
        <v>37</v>
      </c>
      <c r="F5" s="8" t="s">
        <v>45</v>
      </c>
      <c r="G5" s="9" t="s">
        <v>46</v>
      </c>
      <c r="H5" s="8" t="str">
        <f>"000040"</f>
        <v>000040</v>
      </c>
      <c r="I5" s="7">
        <v>43003</v>
      </c>
      <c r="J5" s="8" t="str">
        <f>"000001"</f>
        <v>000001</v>
      </c>
      <c r="K5" s="7">
        <v>43003</v>
      </c>
      <c r="L5" s="8" t="str">
        <f>"000035"</f>
        <v>000035</v>
      </c>
      <c r="M5" s="7">
        <v>43003</v>
      </c>
      <c r="N5" s="8">
        <v>17</v>
      </c>
      <c r="O5" s="8" t="str">
        <f>"001879"</f>
        <v>001879</v>
      </c>
      <c r="P5" s="7">
        <v>43607</v>
      </c>
      <c r="Q5" s="10">
        <v>18.30687</v>
      </c>
      <c r="R5" s="10">
        <v>1.31735</v>
      </c>
      <c r="S5" s="10">
        <v>16.989519999999999</v>
      </c>
      <c r="T5" s="8">
        <v>57</v>
      </c>
      <c r="U5" s="7">
        <v>43609</v>
      </c>
      <c r="V5" s="8">
        <v>8023330521</v>
      </c>
      <c r="W5" s="9" t="s">
        <v>47</v>
      </c>
      <c r="X5" s="8" t="s">
        <v>31</v>
      </c>
      <c r="Y5" s="9" t="s">
        <v>32</v>
      </c>
      <c r="Z5" s="8" t="s">
        <v>48</v>
      </c>
      <c r="AA5" s="9" t="s">
        <v>49</v>
      </c>
      <c r="AB5" s="10">
        <f t="shared" si="0"/>
        <v>0.1830687</v>
      </c>
    </row>
    <row r="6" spans="1:28" s="4" customFormat="1" ht="13" x14ac:dyDescent="0.3">
      <c r="A6" s="5">
        <v>1156</v>
      </c>
      <c r="B6" s="6" t="s">
        <v>50</v>
      </c>
      <c r="C6" s="7">
        <v>43654</v>
      </c>
      <c r="D6" s="8">
        <v>33</v>
      </c>
      <c r="E6" s="9" t="s">
        <v>37</v>
      </c>
      <c r="F6" s="8" t="s">
        <v>42</v>
      </c>
      <c r="G6" s="11" t="s">
        <v>43</v>
      </c>
      <c r="H6" s="8" t="str">
        <f>"000017"</f>
        <v>000017</v>
      </c>
      <c r="I6" s="7">
        <v>42947</v>
      </c>
      <c r="J6" s="8" t="str">
        <f>"000130"</f>
        <v>000130</v>
      </c>
      <c r="K6" s="7">
        <v>43781</v>
      </c>
      <c r="L6" s="8" t="str">
        <f>"000130"</f>
        <v>000130</v>
      </c>
      <c r="M6" s="7">
        <v>43781</v>
      </c>
      <c r="N6" s="8">
        <v>16</v>
      </c>
      <c r="O6" s="8" t="str">
        <f>""</f>
        <v/>
      </c>
      <c r="P6" s="8"/>
      <c r="Q6" s="12">
        <v>5.4842500000000003</v>
      </c>
      <c r="R6" s="12">
        <v>0.70913000000000004</v>
      </c>
      <c r="S6" s="12">
        <v>4.7751200000000003</v>
      </c>
      <c r="T6" s="8">
        <v>109</v>
      </c>
      <c r="U6" s="7">
        <v>43654</v>
      </c>
      <c r="V6" s="8">
        <v>9845267052</v>
      </c>
      <c r="W6" s="11" t="s">
        <v>44</v>
      </c>
      <c r="X6" s="8" t="s">
        <v>29</v>
      </c>
      <c r="Y6" s="11" t="s">
        <v>30</v>
      </c>
      <c r="Z6" s="8" t="s">
        <v>34</v>
      </c>
      <c r="AA6" s="11" t="s">
        <v>35</v>
      </c>
      <c r="AB6" s="12">
        <f t="shared" si="0"/>
        <v>5.4842500000000002E-2</v>
      </c>
    </row>
    <row r="7" spans="1:28" s="4" customFormat="1" ht="13" x14ac:dyDescent="0.3">
      <c r="A7" s="5">
        <v>1157</v>
      </c>
      <c r="B7" s="6" t="s">
        <v>50</v>
      </c>
      <c r="C7" s="7">
        <v>43663</v>
      </c>
      <c r="D7" s="8">
        <v>33</v>
      </c>
      <c r="E7" s="9" t="s">
        <v>37</v>
      </c>
      <c r="F7" s="8" t="s">
        <v>51</v>
      </c>
      <c r="G7" s="11" t="s">
        <v>52</v>
      </c>
      <c r="H7" s="8" t="str">
        <f>"000139"</f>
        <v>000139</v>
      </c>
      <c r="I7" s="7">
        <v>43175</v>
      </c>
      <c r="J7" s="8" t="str">
        <f>"000224"</f>
        <v>000224</v>
      </c>
      <c r="K7" s="7">
        <v>43189</v>
      </c>
      <c r="L7" s="8" t="str">
        <f>"000213"</f>
        <v>000213</v>
      </c>
      <c r="M7" s="7">
        <v>43189</v>
      </c>
      <c r="N7" s="8">
        <v>17</v>
      </c>
      <c r="O7" s="8" t="str">
        <f>"003453"</f>
        <v>003453</v>
      </c>
      <c r="P7" s="7">
        <v>43662</v>
      </c>
      <c r="Q7" s="12">
        <v>21.999279999999999</v>
      </c>
      <c r="R7" s="12">
        <v>2.774</v>
      </c>
      <c r="S7" s="12">
        <v>19.225280000000001</v>
      </c>
      <c r="T7" s="8">
        <v>113</v>
      </c>
      <c r="U7" s="7">
        <v>43663</v>
      </c>
      <c r="V7" s="8">
        <v>9945525730</v>
      </c>
      <c r="W7" s="11" t="s">
        <v>53</v>
      </c>
      <c r="X7" s="8" t="s">
        <v>54</v>
      </c>
      <c r="Y7" s="11" t="s">
        <v>55</v>
      </c>
      <c r="Z7" s="8" t="s">
        <v>34</v>
      </c>
      <c r="AA7" s="11" t="s">
        <v>35</v>
      </c>
      <c r="AB7" s="12">
        <f t="shared" si="0"/>
        <v>0.21999279999999999</v>
      </c>
    </row>
    <row r="8" spans="1:28" s="4" customFormat="1" ht="13" x14ac:dyDescent="0.3">
      <c r="A8" s="5">
        <v>1158</v>
      </c>
      <c r="B8" s="6" t="s">
        <v>50</v>
      </c>
      <c r="C8" s="7">
        <v>43663</v>
      </c>
      <c r="D8" s="8">
        <v>33</v>
      </c>
      <c r="E8" s="9" t="s">
        <v>37</v>
      </c>
      <c r="F8" s="8" t="s">
        <v>56</v>
      </c>
      <c r="G8" s="11" t="s">
        <v>57</v>
      </c>
      <c r="H8" s="8" t="str">
        <f>"000145"</f>
        <v>000145</v>
      </c>
      <c r="I8" s="7">
        <v>43176</v>
      </c>
      <c r="J8" s="8" t="str">
        <f>"000225"</f>
        <v>000225</v>
      </c>
      <c r="K8" s="7">
        <v>43189</v>
      </c>
      <c r="L8" s="8" t="str">
        <f>"000214"</f>
        <v>000214</v>
      </c>
      <c r="M8" s="7">
        <v>43189</v>
      </c>
      <c r="N8" s="8">
        <v>18</v>
      </c>
      <c r="O8" s="8" t="str">
        <f>"003454"</f>
        <v>003454</v>
      </c>
      <c r="P8" s="7">
        <v>43662</v>
      </c>
      <c r="Q8" s="12">
        <v>46.856140000000003</v>
      </c>
      <c r="R8" s="12">
        <v>5.9048400000000001</v>
      </c>
      <c r="S8" s="12">
        <v>40.951300000000003</v>
      </c>
      <c r="T8" s="8">
        <v>113</v>
      </c>
      <c r="U8" s="7">
        <v>43663</v>
      </c>
      <c r="V8" s="8">
        <v>9945525730</v>
      </c>
      <c r="W8" s="11" t="s">
        <v>53</v>
      </c>
      <c r="X8" s="8" t="s">
        <v>58</v>
      </c>
      <c r="Y8" s="11" t="s">
        <v>59</v>
      </c>
      <c r="Z8" s="8" t="s">
        <v>34</v>
      </c>
      <c r="AA8" s="11" t="s">
        <v>35</v>
      </c>
      <c r="AB8" s="12">
        <f t="shared" si="0"/>
        <v>0.46856140000000002</v>
      </c>
    </row>
    <row r="9" spans="1:28" s="4" customFormat="1" ht="13" x14ac:dyDescent="0.3">
      <c r="A9" s="5">
        <v>1159</v>
      </c>
      <c r="B9" s="6" t="s">
        <v>50</v>
      </c>
      <c r="C9" s="7">
        <v>43663</v>
      </c>
      <c r="D9" s="8">
        <v>33</v>
      </c>
      <c r="E9" s="9" t="s">
        <v>37</v>
      </c>
      <c r="F9" s="8" t="s">
        <v>60</v>
      </c>
      <c r="G9" s="11" t="s">
        <v>61</v>
      </c>
      <c r="H9" s="8" t="str">
        <f>"000146"</f>
        <v>000146</v>
      </c>
      <c r="I9" s="7">
        <v>43176</v>
      </c>
      <c r="J9" s="8" t="str">
        <f>"000226"</f>
        <v>000226</v>
      </c>
      <c r="K9" s="7">
        <v>43189</v>
      </c>
      <c r="L9" s="8" t="str">
        <f>"000215"</f>
        <v>000215</v>
      </c>
      <c r="M9" s="7">
        <v>43189</v>
      </c>
      <c r="N9" s="8">
        <v>18</v>
      </c>
      <c r="O9" s="8" t="str">
        <f>"003455"</f>
        <v>003455</v>
      </c>
      <c r="P9" s="7">
        <v>43662</v>
      </c>
      <c r="Q9" s="12">
        <v>46.856140000000003</v>
      </c>
      <c r="R9" s="12">
        <v>5.9056199999999999</v>
      </c>
      <c r="S9" s="12">
        <v>40.950519999999997</v>
      </c>
      <c r="T9" s="8">
        <v>113</v>
      </c>
      <c r="U9" s="7">
        <v>43663</v>
      </c>
      <c r="V9" s="8">
        <v>9945525730</v>
      </c>
      <c r="W9" s="11" t="s">
        <v>53</v>
      </c>
      <c r="X9" s="8" t="s">
        <v>58</v>
      </c>
      <c r="Y9" s="11" t="s">
        <v>59</v>
      </c>
      <c r="Z9" s="8" t="s">
        <v>34</v>
      </c>
      <c r="AA9" s="11" t="s">
        <v>35</v>
      </c>
      <c r="AB9" s="12">
        <f t="shared" si="0"/>
        <v>0.46856140000000002</v>
      </c>
    </row>
    <row r="10" spans="1:28" s="4" customFormat="1" ht="13" x14ac:dyDescent="0.3">
      <c r="A10" s="5">
        <v>1160</v>
      </c>
      <c r="B10" s="6" t="s">
        <v>50</v>
      </c>
      <c r="C10" s="7">
        <v>43663</v>
      </c>
      <c r="D10" s="8">
        <v>33</v>
      </c>
      <c r="E10" s="9" t="s">
        <v>37</v>
      </c>
      <c r="F10" s="8" t="s">
        <v>62</v>
      </c>
      <c r="G10" s="11" t="s">
        <v>63</v>
      </c>
      <c r="H10" s="8" t="str">
        <f>"000144"</f>
        <v>000144</v>
      </c>
      <c r="I10" s="7">
        <v>43176</v>
      </c>
      <c r="J10" s="8" t="str">
        <f>"000227"</f>
        <v>000227</v>
      </c>
      <c r="K10" s="7">
        <v>43189</v>
      </c>
      <c r="L10" s="8" t="str">
        <f>"000216"</f>
        <v>000216</v>
      </c>
      <c r="M10" s="7">
        <v>43189</v>
      </c>
      <c r="N10" s="8">
        <v>18</v>
      </c>
      <c r="O10" s="8" t="str">
        <f>"003456"</f>
        <v>003456</v>
      </c>
      <c r="P10" s="7">
        <v>43662</v>
      </c>
      <c r="Q10" s="12">
        <v>46.856140000000003</v>
      </c>
      <c r="R10" s="12">
        <v>5.9054399999999996</v>
      </c>
      <c r="S10" s="12">
        <v>40.950699999999998</v>
      </c>
      <c r="T10" s="8">
        <v>113</v>
      </c>
      <c r="U10" s="7">
        <v>43663</v>
      </c>
      <c r="V10" s="8">
        <v>9945525730</v>
      </c>
      <c r="W10" s="11" t="s">
        <v>53</v>
      </c>
      <c r="X10" s="8" t="s">
        <v>58</v>
      </c>
      <c r="Y10" s="11" t="s">
        <v>59</v>
      </c>
      <c r="Z10" s="8" t="s">
        <v>34</v>
      </c>
      <c r="AA10" s="11" t="s">
        <v>35</v>
      </c>
      <c r="AB10" s="12">
        <f t="shared" si="0"/>
        <v>0.46856140000000002</v>
      </c>
    </row>
    <row r="11" spans="1:28" s="4" customFormat="1" ht="13" x14ac:dyDescent="0.3">
      <c r="A11" s="5">
        <v>1161</v>
      </c>
      <c r="B11" s="6" t="s">
        <v>50</v>
      </c>
      <c r="C11" s="7">
        <v>43663</v>
      </c>
      <c r="D11" s="8">
        <v>33</v>
      </c>
      <c r="E11" s="9" t="s">
        <v>37</v>
      </c>
      <c r="F11" s="8" t="s">
        <v>64</v>
      </c>
      <c r="G11" s="11" t="s">
        <v>65</v>
      </c>
      <c r="H11" s="8" t="str">
        <f>"000140"</f>
        <v>000140</v>
      </c>
      <c r="I11" s="7">
        <v>43175</v>
      </c>
      <c r="J11" s="8" t="str">
        <f>"000228"</f>
        <v>000228</v>
      </c>
      <c r="K11" s="7">
        <v>43189</v>
      </c>
      <c r="L11" s="8" t="str">
        <f>"000217"</f>
        <v>000217</v>
      </c>
      <c r="M11" s="7">
        <v>43189</v>
      </c>
      <c r="N11" s="8">
        <v>18</v>
      </c>
      <c r="O11" s="8" t="str">
        <f>"003457"</f>
        <v>003457</v>
      </c>
      <c r="P11" s="7">
        <v>43662</v>
      </c>
      <c r="Q11" s="12">
        <v>42.905560000000001</v>
      </c>
      <c r="R11" s="12">
        <v>5.41012</v>
      </c>
      <c r="S11" s="12">
        <v>37.495440000000002</v>
      </c>
      <c r="T11" s="8">
        <v>113</v>
      </c>
      <c r="U11" s="7">
        <v>43663</v>
      </c>
      <c r="V11" s="8">
        <v>9945525730</v>
      </c>
      <c r="W11" s="11" t="s">
        <v>53</v>
      </c>
      <c r="X11" s="8" t="s">
        <v>58</v>
      </c>
      <c r="Y11" s="11" t="s">
        <v>59</v>
      </c>
      <c r="Z11" s="8" t="s">
        <v>34</v>
      </c>
      <c r="AA11" s="11" t="s">
        <v>35</v>
      </c>
      <c r="AB11" s="12">
        <f t="shared" si="0"/>
        <v>0.42905560000000004</v>
      </c>
    </row>
    <row r="12" spans="1:28" s="4" customFormat="1" ht="13" x14ac:dyDescent="0.3">
      <c r="A12" s="5">
        <v>1162</v>
      </c>
      <c r="B12" s="6" t="s">
        <v>50</v>
      </c>
      <c r="C12" s="7">
        <v>43663</v>
      </c>
      <c r="D12" s="8">
        <v>33</v>
      </c>
      <c r="E12" s="9" t="s">
        <v>37</v>
      </c>
      <c r="F12" s="8" t="s">
        <v>66</v>
      </c>
      <c r="G12" s="11" t="s">
        <v>67</v>
      </c>
      <c r="H12" s="8" t="str">
        <f>"000142"</f>
        <v>000142</v>
      </c>
      <c r="I12" s="7">
        <v>43176</v>
      </c>
      <c r="J12" s="8" t="str">
        <f>"000229"</f>
        <v>000229</v>
      </c>
      <c r="K12" s="7">
        <v>43189</v>
      </c>
      <c r="L12" s="8" t="str">
        <f>"000218"</f>
        <v>000218</v>
      </c>
      <c r="M12" s="7">
        <v>43189</v>
      </c>
      <c r="N12" s="8">
        <v>18</v>
      </c>
      <c r="O12" s="8" t="str">
        <f>"003458"</f>
        <v>003458</v>
      </c>
      <c r="P12" s="7">
        <v>43662</v>
      </c>
      <c r="Q12" s="12">
        <v>42.905560000000001</v>
      </c>
      <c r="R12" s="12">
        <v>5.4096200000000003</v>
      </c>
      <c r="S12" s="12">
        <v>37.495939999999997</v>
      </c>
      <c r="T12" s="8">
        <v>113</v>
      </c>
      <c r="U12" s="7">
        <v>43663</v>
      </c>
      <c r="V12" s="8">
        <v>9945525730</v>
      </c>
      <c r="W12" s="11" t="s">
        <v>53</v>
      </c>
      <c r="X12" s="8" t="s">
        <v>58</v>
      </c>
      <c r="Y12" s="11" t="s">
        <v>59</v>
      </c>
      <c r="Z12" s="8" t="s">
        <v>34</v>
      </c>
      <c r="AA12" s="11" t="s">
        <v>35</v>
      </c>
      <c r="AB12" s="12">
        <f t="shared" si="0"/>
        <v>0.42905560000000004</v>
      </c>
    </row>
    <row r="13" spans="1:28" s="4" customFormat="1" ht="13" x14ac:dyDescent="0.3">
      <c r="A13" s="5">
        <v>1163</v>
      </c>
      <c r="B13" s="6" t="s">
        <v>50</v>
      </c>
      <c r="C13" s="7">
        <v>43663</v>
      </c>
      <c r="D13" s="8">
        <v>33</v>
      </c>
      <c r="E13" s="9" t="s">
        <v>37</v>
      </c>
      <c r="F13" s="8" t="s">
        <v>68</v>
      </c>
      <c r="G13" s="11" t="s">
        <v>69</v>
      </c>
      <c r="H13" s="8" t="str">
        <f>"000160"</f>
        <v>000160</v>
      </c>
      <c r="I13" s="7">
        <v>43189</v>
      </c>
      <c r="J13" s="8" t="str">
        <f>"000230"</f>
        <v>000230</v>
      </c>
      <c r="K13" s="7">
        <v>43189</v>
      </c>
      <c r="L13" s="8" t="str">
        <f>"000219"</f>
        <v>000219</v>
      </c>
      <c r="M13" s="7">
        <v>43189</v>
      </c>
      <c r="N13" s="8">
        <v>18</v>
      </c>
      <c r="O13" s="8" t="str">
        <f>"003459"</f>
        <v>003459</v>
      </c>
      <c r="P13" s="7">
        <v>43662</v>
      </c>
      <c r="Q13" s="12">
        <v>19.531559999999999</v>
      </c>
      <c r="R13" s="12">
        <v>2.4631400000000001</v>
      </c>
      <c r="S13" s="12">
        <v>17.06842</v>
      </c>
      <c r="T13" s="8">
        <v>113</v>
      </c>
      <c r="U13" s="7">
        <v>43663</v>
      </c>
      <c r="V13" s="8">
        <v>9945525730</v>
      </c>
      <c r="W13" s="11" t="s">
        <v>53</v>
      </c>
      <c r="X13" s="8" t="s">
        <v>58</v>
      </c>
      <c r="Y13" s="11" t="s">
        <v>59</v>
      </c>
      <c r="Z13" s="8" t="s">
        <v>34</v>
      </c>
      <c r="AA13" s="11" t="s">
        <v>35</v>
      </c>
      <c r="AB13" s="12">
        <f t="shared" si="0"/>
        <v>0.19531559999999998</v>
      </c>
    </row>
    <row r="14" spans="1:28" s="4" customFormat="1" ht="13" x14ac:dyDescent="0.3">
      <c r="A14" s="5">
        <v>1164</v>
      </c>
      <c r="B14" s="6" t="s">
        <v>70</v>
      </c>
      <c r="C14" s="7">
        <v>43685</v>
      </c>
      <c r="D14" s="8">
        <v>33</v>
      </c>
      <c r="E14" s="9" t="s">
        <v>37</v>
      </c>
      <c r="F14" s="8" t="s">
        <v>42</v>
      </c>
      <c r="G14" s="11" t="s">
        <v>43</v>
      </c>
      <c r="H14" s="8" t="str">
        <f>"000017"</f>
        <v>000017</v>
      </c>
      <c r="I14" s="7">
        <v>42947</v>
      </c>
      <c r="J14" s="8" t="str">
        <f>"000130"</f>
        <v>000130</v>
      </c>
      <c r="K14" s="7">
        <v>43781</v>
      </c>
      <c r="L14" s="8" t="str">
        <f>"000130"</f>
        <v>000130</v>
      </c>
      <c r="M14" s="7">
        <v>43781</v>
      </c>
      <c r="N14" s="8">
        <v>16</v>
      </c>
      <c r="O14" s="8" t="str">
        <f>""</f>
        <v/>
      </c>
      <c r="P14" s="8"/>
      <c r="Q14" s="12">
        <v>1.3710599999999999</v>
      </c>
      <c r="R14" s="12">
        <v>0.18532000000000001</v>
      </c>
      <c r="S14" s="12">
        <v>1.18574</v>
      </c>
      <c r="T14" s="8">
        <v>149</v>
      </c>
      <c r="U14" s="7">
        <v>43685</v>
      </c>
      <c r="V14" s="8">
        <v>9845267052</v>
      </c>
      <c r="W14" s="11" t="s">
        <v>44</v>
      </c>
      <c r="X14" s="8" t="s">
        <v>29</v>
      </c>
      <c r="Y14" s="11" t="s">
        <v>30</v>
      </c>
      <c r="Z14" s="8" t="s">
        <v>34</v>
      </c>
      <c r="AA14" s="11" t="s">
        <v>35</v>
      </c>
      <c r="AB14" s="12">
        <f t="shared" si="0"/>
        <v>1.37106E-2</v>
      </c>
    </row>
    <row r="15" spans="1:28" s="4" customFormat="1" ht="13" x14ac:dyDescent="0.3">
      <c r="A15" s="5">
        <v>1165</v>
      </c>
      <c r="B15" s="6" t="s">
        <v>70</v>
      </c>
      <c r="C15" s="7">
        <v>43696</v>
      </c>
      <c r="D15" s="8">
        <v>33</v>
      </c>
      <c r="E15" s="9" t="s">
        <v>37</v>
      </c>
      <c r="F15" s="8" t="s">
        <v>71</v>
      </c>
      <c r="G15" s="11" t="s">
        <v>72</v>
      </c>
      <c r="H15" s="8" t="str">
        <f>"000185"</f>
        <v>000185</v>
      </c>
      <c r="I15" s="7">
        <v>43183</v>
      </c>
      <c r="J15" s="8" t="str">
        <f>"000075"</f>
        <v>000075</v>
      </c>
      <c r="K15" s="7">
        <v>43185</v>
      </c>
      <c r="L15" s="8" t="str">
        <f>"000161"</f>
        <v>000161</v>
      </c>
      <c r="M15" s="7">
        <v>43185</v>
      </c>
      <c r="N15" s="8">
        <v>17</v>
      </c>
      <c r="O15" s="8" t="str">
        <f>"004404"</f>
        <v>004404</v>
      </c>
      <c r="P15" s="7">
        <v>43690</v>
      </c>
      <c r="Q15" s="12">
        <v>48.408119999999997</v>
      </c>
      <c r="R15" s="12">
        <v>1.18479</v>
      </c>
      <c r="S15" s="12">
        <v>47.223329999999997</v>
      </c>
      <c r="T15" s="8">
        <v>158</v>
      </c>
      <c r="U15" s="7">
        <v>43696</v>
      </c>
      <c r="V15" s="8">
        <v>8023557744</v>
      </c>
      <c r="W15" s="11" t="s">
        <v>73</v>
      </c>
      <c r="X15" s="8" t="s">
        <v>54</v>
      </c>
      <c r="Y15" s="11" t="s">
        <v>55</v>
      </c>
      <c r="Z15" s="8" t="s">
        <v>48</v>
      </c>
      <c r="AA15" s="11" t="s">
        <v>49</v>
      </c>
      <c r="AB15" s="12">
        <f t="shared" si="0"/>
        <v>0.48408119999999999</v>
      </c>
    </row>
    <row r="16" spans="1:28" s="4" customFormat="1" ht="13" x14ac:dyDescent="0.3">
      <c r="A16" s="5">
        <v>1166</v>
      </c>
      <c r="B16" s="6" t="s">
        <v>70</v>
      </c>
      <c r="C16" s="7">
        <v>43696</v>
      </c>
      <c r="D16" s="8">
        <v>33</v>
      </c>
      <c r="E16" s="9" t="s">
        <v>37</v>
      </c>
      <c r="F16" s="8" t="s">
        <v>74</v>
      </c>
      <c r="G16" s="11" t="s">
        <v>75</v>
      </c>
      <c r="H16" s="8" t="str">
        <f>"000186"</f>
        <v>000186</v>
      </c>
      <c r="I16" s="7">
        <v>43183</v>
      </c>
      <c r="J16" s="8" t="str">
        <f>"000076"</f>
        <v>000076</v>
      </c>
      <c r="K16" s="7">
        <v>43185</v>
      </c>
      <c r="L16" s="8" t="str">
        <f>"000162"</f>
        <v>000162</v>
      </c>
      <c r="M16" s="7">
        <v>43185</v>
      </c>
      <c r="N16" s="8">
        <v>17</v>
      </c>
      <c r="O16" s="8" t="str">
        <f>"004405"</f>
        <v>004405</v>
      </c>
      <c r="P16" s="7">
        <v>43690</v>
      </c>
      <c r="Q16" s="12">
        <v>48.448920000000001</v>
      </c>
      <c r="R16" s="12">
        <v>1.2011400000000001</v>
      </c>
      <c r="S16" s="12">
        <v>47.247779999999999</v>
      </c>
      <c r="T16" s="8">
        <v>158</v>
      </c>
      <c r="U16" s="7">
        <v>43696</v>
      </c>
      <c r="V16" s="8">
        <v>8023557744</v>
      </c>
      <c r="W16" s="11" t="s">
        <v>73</v>
      </c>
      <c r="X16" s="8" t="s">
        <v>54</v>
      </c>
      <c r="Y16" s="11" t="s">
        <v>55</v>
      </c>
      <c r="Z16" s="8" t="s">
        <v>48</v>
      </c>
      <c r="AA16" s="11" t="s">
        <v>49</v>
      </c>
      <c r="AB16" s="12">
        <f t="shared" si="0"/>
        <v>0.48448920000000001</v>
      </c>
    </row>
    <row r="17" spans="1:28" s="4" customFormat="1" ht="13" x14ac:dyDescent="0.3">
      <c r="A17" s="5">
        <v>1167</v>
      </c>
      <c r="B17" s="6" t="s">
        <v>70</v>
      </c>
      <c r="C17" s="7">
        <v>43696</v>
      </c>
      <c r="D17" s="8">
        <v>33</v>
      </c>
      <c r="E17" s="9" t="s">
        <v>37</v>
      </c>
      <c r="F17" s="8" t="s">
        <v>76</v>
      </c>
      <c r="G17" s="11" t="s">
        <v>77</v>
      </c>
      <c r="H17" s="8" t="str">
        <f>"000181"</f>
        <v>000181</v>
      </c>
      <c r="I17" s="7">
        <v>43181</v>
      </c>
      <c r="J17" s="8" t="str">
        <f>"000068"</f>
        <v>000068</v>
      </c>
      <c r="K17" s="7">
        <v>43181</v>
      </c>
      <c r="L17" s="8" t="str">
        <f>"000156"</f>
        <v>000156</v>
      </c>
      <c r="M17" s="7">
        <v>43181</v>
      </c>
      <c r="N17" s="8">
        <v>17</v>
      </c>
      <c r="O17" s="8" t="str">
        <f>"004479"</f>
        <v>004479</v>
      </c>
      <c r="P17" s="7">
        <v>43691</v>
      </c>
      <c r="Q17" s="12">
        <v>37.62124</v>
      </c>
      <c r="R17" s="12">
        <v>0.98202999999999996</v>
      </c>
      <c r="S17" s="12">
        <v>36.639209999999999</v>
      </c>
      <c r="T17" s="8">
        <v>158</v>
      </c>
      <c r="U17" s="7">
        <v>43696</v>
      </c>
      <c r="V17" s="8">
        <v>8023557744</v>
      </c>
      <c r="W17" s="11" t="s">
        <v>78</v>
      </c>
      <c r="X17" s="8" t="s">
        <v>79</v>
      </c>
      <c r="Y17" s="11" t="s">
        <v>80</v>
      </c>
      <c r="Z17" s="8" t="s">
        <v>48</v>
      </c>
      <c r="AA17" s="11" t="s">
        <v>49</v>
      </c>
      <c r="AB17" s="12">
        <f t="shared" si="0"/>
        <v>0.3762124</v>
      </c>
    </row>
    <row r="18" spans="1:28" s="4" customFormat="1" ht="13" x14ac:dyDescent="0.3">
      <c r="A18" s="5">
        <v>1168</v>
      </c>
      <c r="B18" s="6" t="s">
        <v>70</v>
      </c>
      <c r="C18" s="7">
        <v>43696</v>
      </c>
      <c r="D18" s="8">
        <v>33</v>
      </c>
      <c r="E18" s="9" t="s">
        <v>37</v>
      </c>
      <c r="F18" s="8" t="s">
        <v>81</v>
      </c>
      <c r="G18" s="11" t="s">
        <v>82</v>
      </c>
      <c r="H18" s="8" t="str">
        <f>"000182"</f>
        <v>000182</v>
      </c>
      <c r="I18" s="7">
        <v>43181</v>
      </c>
      <c r="J18" s="8" t="str">
        <f>"000069"</f>
        <v>000069</v>
      </c>
      <c r="K18" s="7">
        <v>43181</v>
      </c>
      <c r="L18" s="8" t="str">
        <f>"000157"</f>
        <v>000157</v>
      </c>
      <c r="M18" s="7">
        <v>43181</v>
      </c>
      <c r="N18" s="8">
        <v>17</v>
      </c>
      <c r="O18" s="8" t="str">
        <f>"004481"</f>
        <v>004481</v>
      </c>
      <c r="P18" s="7">
        <v>43691</v>
      </c>
      <c r="Q18" s="12">
        <v>37.732810000000001</v>
      </c>
      <c r="R18" s="12">
        <v>0.97787999999999997</v>
      </c>
      <c r="S18" s="12">
        <v>36.754930000000002</v>
      </c>
      <c r="T18" s="8">
        <v>158</v>
      </c>
      <c r="U18" s="7">
        <v>43696</v>
      </c>
      <c r="V18" s="8">
        <v>8023557744</v>
      </c>
      <c r="W18" s="11" t="s">
        <v>78</v>
      </c>
      <c r="X18" s="8" t="s">
        <v>79</v>
      </c>
      <c r="Y18" s="11" t="s">
        <v>80</v>
      </c>
      <c r="Z18" s="8" t="s">
        <v>48</v>
      </c>
      <c r="AA18" s="11" t="s">
        <v>49</v>
      </c>
      <c r="AB18" s="12">
        <f t="shared" si="0"/>
        <v>0.3773281</v>
      </c>
    </row>
    <row r="19" spans="1:28" s="4" customFormat="1" ht="13" x14ac:dyDescent="0.3">
      <c r="A19" s="5">
        <v>1169</v>
      </c>
      <c r="B19" s="6" t="s">
        <v>70</v>
      </c>
      <c r="C19" s="7">
        <v>43696</v>
      </c>
      <c r="D19" s="8">
        <v>33</v>
      </c>
      <c r="E19" s="9" t="s">
        <v>37</v>
      </c>
      <c r="F19" s="8" t="s">
        <v>83</v>
      </c>
      <c r="G19" s="11" t="s">
        <v>84</v>
      </c>
      <c r="H19" s="8" t="str">
        <f>"000176"</f>
        <v>000176</v>
      </c>
      <c r="I19" s="7">
        <v>43181</v>
      </c>
      <c r="J19" s="8" t="str">
        <f>"000070"</f>
        <v>000070</v>
      </c>
      <c r="K19" s="7">
        <v>43181</v>
      </c>
      <c r="L19" s="8" t="str">
        <f>"000158"</f>
        <v>000158</v>
      </c>
      <c r="M19" s="7">
        <v>43181</v>
      </c>
      <c r="N19" s="8">
        <v>17</v>
      </c>
      <c r="O19" s="8" t="str">
        <f>"004482"</f>
        <v>004482</v>
      </c>
      <c r="P19" s="7">
        <v>43691</v>
      </c>
      <c r="Q19" s="12">
        <v>18.940349999999999</v>
      </c>
      <c r="R19" s="12">
        <v>0.50653999999999999</v>
      </c>
      <c r="S19" s="12">
        <v>18.433810000000001</v>
      </c>
      <c r="T19" s="8">
        <v>158</v>
      </c>
      <c r="U19" s="7">
        <v>43696</v>
      </c>
      <c r="V19" s="8">
        <v>8023557744</v>
      </c>
      <c r="W19" s="11" t="s">
        <v>78</v>
      </c>
      <c r="X19" s="8" t="s">
        <v>79</v>
      </c>
      <c r="Y19" s="11" t="s">
        <v>80</v>
      </c>
      <c r="Z19" s="8" t="s">
        <v>48</v>
      </c>
      <c r="AA19" s="11" t="s">
        <v>49</v>
      </c>
      <c r="AB19" s="12">
        <f t="shared" si="0"/>
        <v>0.18940349999999997</v>
      </c>
    </row>
    <row r="20" spans="1:28" s="4" customFormat="1" ht="13" x14ac:dyDescent="0.3">
      <c r="A20" s="5">
        <v>1170</v>
      </c>
      <c r="B20" s="6" t="s">
        <v>70</v>
      </c>
      <c r="C20" s="7">
        <v>43696</v>
      </c>
      <c r="D20" s="8">
        <v>33</v>
      </c>
      <c r="E20" s="9" t="s">
        <v>37</v>
      </c>
      <c r="F20" s="8" t="s">
        <v>85</v>
      </c>
      <c r="G20" s="11" t="s">
        <v>86</v>
      </c>
      <c r="H20" s="8" t="str">
        <f>"000177"</f>
        <v>000177</v>
      </c>
      <c r="I20" s="7">
        <v>43181</v>
      </c>
      <c r="J20" s="8" t="str">
        <f>"000071"</f>
        <v>000071</v>
      </c>
      <c r="K20" s="7">
        <v>43181</v>
      </c>
      <c r="L20" s="8" t="str">
        <f>"000159"</f>
        <v>000159</v>
      </c>
      <c r="M20" s="7">
        <v>43181</v>
      </c>
      <c r="N20" s="8">
        <v>17</v>
      </c>
      <c r="O20" s="8" t="str">
        <f>"004484"</f>
        <v>004484</v>
      </c>
      <c r="P20" s="7">
        <v>43691</v>
      </c>
      <c r="Q20" s="12">
        <v>27.78912</v>
      </c>
      <c r="R20" s="12">
        <v>0.73387999999999998</v>
      </c>
      <c r="S20" s="12">
        <v>27.055240000000001</v>
      </c>
      <c r="T20" s="8">
        <v>158</v>
      </c>
      <c r="U20" s="7">
        <v>43696</v>
      </c>
      <c r="V20" s="8">
        <v>8023557744</v>
      </c>
      <c r="W20" s="11" t="s">
        <v>78</v>
      </c>
      <c r="X20" s="8" t="s">
        <v>31</v>
      </c>
      <c r="Y20" s="11" t="s">
        <v>32</v>
      </c>
      <c r="Z20" s="8" t="s">
        <v>48</v>
      </c>
      <c r="AA20" s="11" t="s">
        <v>49</v>
      </c>
      <c r="AB20" s="12">
        <f t="shared" si="0"/>
        <v>0.2778912</v>
      </c>
    </row>
    <row r="21" spans="1:28" s="4" customFormat="1" ht="13" x14ac:dyDescent="0.3">
      <c r="A21" s="5">
        <v>1171</v>
      </c>
      <c r="B21" s="6" t="s">
        <v>70</v>
      </c>
      <c r="C21" s="7">
        <v>43696</v>
      </c>
      <c r="D21" s="8">
        <v>33</v>
      </c>
      <c r="E21" s="9" t="s">
        <v>37</v>
      </c>
      <c r="F21" s="8" t="s">
        <v>87</v>
      </c>
      <c r="G21" s="11" t="s">
        <v>88</v>
      </c>
      <c r="H21" s="8" t="str">
        <f>"000180"</f>
        <v>000180</v>
      </c>
      <c r="I21" s="7">
        <v>43181</v>
      </c>
      <c r="J21" s="8" t="str">
        <f>"000072"</f>
        <v>000072</v>
      </c>
      <c r="K21" s="7">
        <v>43181</v>
      </c>
      <c r="L21" s="8" t="str">
        <f>"000160"</f>
        <v>000160</v>
      </c>
      <c r="M21" s="7">
        <v>43181</v>
      </c>
      <c r="N21" s="8">
        <v>17</v>
      </c>
      <c r="O21" s="8" t="str">
        <f>"004485"</f>
        <v>004485</v>
      </c>
      <c r="P21" s="7">
        <v>43691</v>
      </c>
      <c r="Q21" s="12">
        <v>37.771320000000003</v>
      </c>
      <c r="R21" s="12">
        <v>0.98824000000000001</v>
      </c>
      <c r="S21" s="12">
        <v>36.783079999999998</v>
      </c>
      <c r="T21" s="8">
        <v>158</v>
      </c>
      <c r="U21" s="7">
        <v>43696</v>
      </c>
      <c r="V21" s="8">
        <v>8023557744</v>
      </c>
      <c r="W21" s="11" t="s">
        <v>78</v>
      </c>
      <c r="X21" s="8" t="s">
        <v>54</v>
      </c>
      <c r="Y21" s="11" t="s">
        <v>55</v>
      </c>
      <c r="Z21" s="8" t="s">
        <v>48</v>
      </c>
      <c r="AA21" s="11" t="s">
        <v>49</v>
      </c>
      <c r="AB21" s="12">
        <f t="shared" si="0"/>
        <v>0.37771320000000003</v>
      </c>
    </row>
    <row r="22" spans="1:28" s="4" customFormat="1" ht="13" x14ac:dyDescent="0.3">
      <c r="A22" s="5">
        <v>1172</v>
      </c>
      <c r="B22" s="6" t="s">
        <v>89</v>
      </c>
      <c r="C22" s="7">
        <v>43773</v>
      </c>
      <c r="D22" s="5">
        <v>33</v>
      </c>
      <c r="E22" s="9" t="s">
        <v>37</v>
      </c>
      <c r="F22" s="8" t="s">
        <v>90</v>
      </c>
      <c r="G22" s="9" t="s">
        <v>91</v>
      </c>
      <c r="H22" s="8" t="str">
        <f>"000202"</f>
        <v>000202</v>
      </c>
      <c r="I22" s="7">
        <v>43186</v>
      </c>
      <c r="J22" s="8" t="str">
        <f>"000010"</f>
        <v>000010</v>
      </c>
      <c r="K22" s="7">
        <v>43228</v>
      </c>
      <c r="L22" s="8" t="str">
        <f>"000016"</f>
        <v>000016</v>
      </c>
      <c r="M22" s="7">
        <v>43229</v>
      </c>
      <c r="N22" s="8">
        <v>18</v>
      </c>
      <c r="O22" s="8" t="str">
        <f>"005917"</f>
        <v>005917</v>
      </c>
      <c r="P22" s="7">
        <v>43763</v>
      </c>
      <c r="Q22" s="10">
        <v>17.988630000000001</v>
      </c>
      <c r="R22" s="10">
        <v>0.5212</v>
      </c>
      <c r="S22" s="10">
        <v>17.46743</v>
      </c>
      <c r="T22" s="8">
        <v>13</v>
      </c>
      <c r="U22" s="7">
        <v>43773</v>
      </c>
      <c r="V22" s="8">
        <v>8023557744</v>
      </c>
      <c r="W22" s="9" t="s">
        <v>92</v>
      </c>
      <c r="X22" s="8" t="s">
        <v>93</v>
      </c>
      <c r="Y22" s="9" t="s">
        <v>94</v>
      </c>
      <c r="Z22" s="8" t="s">
        <v>48</v>
      </c>
      <c r="AA22" s="9" t="s">
        <v>49</v>
      </c>
      <c r="AB22" s="10">
        <v>0.1798863</v>
      </c>
    </row>
    <row r="23" spans="1:28" s="4" customFormat="1" ht="13" x14ac:dyDescent="0.3">
      <c r="A23" s="5">
        <v>1173</v>
      </c>
      <c r="B23" s="6" t="s">
        <v>89</v>
      </c>
      <c r="C23" s="7">
        <v>43777</v>
      </c>
      <c r="D23" s="5">
        <v>33</v>
      </c>
      <c r="E23" s="9" t="s">
        <v>37</v>
      </c>
      <c r="F23" s="8" t="s">
        <v>42</v>
      </c>
      <c r="G23" s="9" t="s">
        <v>43</v>
      </c>
      <c r="H23" s="8" t="str">
        <f>"000017"</f>
        <v>000017</v>
      </c>
      <c r="I23" s="7">
        <v>42947</v>
      </c>
      <c r="J23" s="8" t="str">
        <f>"000141"</f>
        <v>000141</v>
      </c>
      <c r="K23" s="7">
        <v>43805</v>
      </c>
      <c r="L23" s="8" t="str">
        <f>"000141"</f>
        <v>000141</v>
      </c>
      <c r="M23" s="7">
        <v>43805</v>
      </c>
      <c r="N23" s="8">
        <v>16</v>
      </c>
      <c r="O23" s="8" t="str">
        <f>""</f>
        <v/>
      </c>
      <c r="P23" s="7"/>
      <c r="Q23" s="10">
        <v>1.3710599999999999</v>
      </c>
      <c r="R23" s="10">
        <v>0.19137000000000001</v>
      </c>
      <c r="S23" s="10">
        <v>1.1796899999999999</v>
      </c>
      <c r="T23" s="8">
        <v>13</v>
      </c>
      <c r="U23" s="7">
        <v>43777</v>
      </c>
      <c r="V23" s="8">
        <v>9845267052</v>
      </c>
      <c r="W23" s="9" t="s">
        <v>44</v>
      </c>
      <c r="X23" s="8" t="s">
        <v>29</v>
      </c>
      <c r="Y23" s="9" t="s">
        <v>30</v>
      </c>
      <c r="Z23" s="8" t="s">
        <v>34</v>
      </c>
      <c r="AA23" s="9" t="s">
        <v>35</v>
      </c>
      <c r="AB23" s="10">
        <v>1.37106E-2</v>
      </c>
    </row>
    <row r="24" spans="1:28" s="4" customFormat="1" ht="13" x14ac:dyDescent="0.3">
      <c r="A24" s="5">
        <v>1174</v>
      </c>
      <c r="B24" s="6" t="s">
        <v>89</v>
      </c>
      <c r="C24" s="7">
        <v>43777</v>
      </c>
      <c r="D24" s="5">
        <v>33</v>
      </c>
      <c r="E24" s="9" t="s">
        <v>37</v>
      </c>
      <c r="F24" s="8" t="s">
        <v>42</v>
      </c>
      <c r="G24" s="9" t="s">
        <v>43</v>
      </c>
      <c r="H24" s="8" t="str">
        <f>"000017"</f>
        <v>000017</v>
      </c>
      <c r="I24" s="7">
        <v>42947</v>
      </c>
      <c r="J24" s="8" t="str">
        <f>"000141"</f>
        <v>000141</v>
      </c>
      <c r="K24" s="7">
        <v>43805</v>
      </c>
      <c r="L24" s="8" t="str">
        <f>"000141"</f>
        <v>000141</v>
      </c>
      <c r="M24" s="7">
        <v>43805</v>
      </c>
      <c r="N24" s="8">
        <v>16</v>
      </c>
      <c r="O24" s="8" t="str">
        <f>""</f>
        <v/>
      </c>
      <c r="P24" s="7"/>
      <c r="Q24" s="10">
        <v>1.3710599999999999</v>
      </c>
      <c r="R24" s="10">
        <v>0.19402</v>
      </c>
      <c r="S24" s="10">
        <v>1.1770400000000001</v>
      </c>
      <c r="T24" s="8">
        <v>13</v>
      </c>
      <c r="U24" s="7">
        <v>43777</v>
      </c>
      <c r="V24" s="8">
        <v>9845267052</v>
      </c>
      <c r="W24" s="9" t="s">
        <v>44</v>
      </c>
      <c r="X24" s="8" t="s">
        <v>29</v>
      </c>
      <c r="Y24" s="9" t="s">
        <v>30</v>
      </c>
      <c r="Z24" s="8" t="s">
        <v>34</v>
      </c>
      <c r="AA24" s="9" t="s">
        <v>35</v>
      </c>
      <c r="AB24" s="10">
        <v>1.37106E-2</v>
      </c>
    </row>
    <row r="25" spans="1:28" s="4" customFormat="1" ht="13" x14ac:dyDescent="0.3">
      <c r="A25" s="5">
        <v>1175</v>
      </c>
      <c r="B25" s="6" t="s">
        <v>89</v>
      </c>
      <c r="C25" s="7">
        <v>43781</v>
      </c>
      <c r="D25" s="5">
        <v>33</v>
      </c>
      <c r="E25" s="9" t="s">
        <v>37</v>
      </c>
      <c r="F25" s="8" t="s">
        <v>95</v>
      </c>
      <c r="G25" s="9" t="s">
        <v>96</v>
      </c>
      <c r="H25" s="8" t="str">
        <f>"000199"</f>
        <v>000199</v>
      </c>
      <c r="I25" s="7">
        <v>43186</v>
      </c>
      <c r="J25" s="8" t="str">
        <f>"000006"</f>
        <v>000006</v>
      </c>
      <c r="K25" s="7">
        <v>43228</v>
      </c>
      <c r="L25" s="8" t="str">
        <f>"000017"</f>
        <v>000017</v>
      </c>
      <c r="M25" s="7">
        <v>43229</v>
      </c>
      <c r="N25" s="8">
        <v>18</v>
      </c>
      <c r="O25" s="8" t="str">
        <f>"005918"</f>
        <v>005918</v>
      </c>
      <c r="P25" s="7">
        <v>43763</v>
      </c>
      <c r="Q25" s="10">
        <v>17.91966</v>
      </c>
      <c r="R25" s="10">
        <v>0.51051999999999997</v>
      </c>
      <c r="S25" s="10">
        <v>17.409140000000001</v>
      </c>
      <c r="T25" s="8">
        <v>13</v>
      </c>
      <c r="U25" s="7">
        <v>43781</v>
      </c>
      <c r="V25" s="8">
        <v>8023557744</v>
      </c>
      <c r="W25" s="9" t="s">
        <v>92</v>
      </c>
      <c r="X25" s="8" t="s">
        <v>93</v>
      </c>
      <c r="Y25" s="9" t="s">
        <v>94</v>
      </c>
      <c r="Z25" s="8" t="s">
        <v>48</v>
      </c>
      <c r="AA25" s="9" t="s">
        <v>49</v>
      </c>
      <c r="AB25" s="10">
        <v>0.17919660000000001</v>
      </c>
    </row>
    <row r="26" spans="1:28" s="4" customFormat="1" ht="13" x14ac:dyDescent="0.3">
      <c r="A26" s="5">
        <v>1176</v>
      </c>
      <c r="B26" s="6" t="s">
        <v>89</v>
      </c>
      <c r="C26" s="7">
        <v>43781</v>
      </c>
      <c r="D26" s="5">
        <v>33</v>
      </c>
      <c r="E26" s="9" t="s">
        <v>37</v>
      </c>
      <c r="F26" s="8" t="s">
        <v>97</v>
      </c>
      <c r="G26" s="9" t="s">
        <v>98</v>
      </c>
      <c r="H26" s="8" t="str">
        <f>"000201"</f>
        <v>000201</v>
      </c>
      <c r="I26" s="7">
        <v>43186</v>
      </c>
      <c r="J26" s="8" t="str">
        <f>"000007"</f>
        <v>000007</v>
      </c>
      <c r="K26" s="7">
        <v>43228</v>
      </c>
      <c r="L26" s="8" t="str">
        <f>"000018"</f>
        <v>000018</v>
      </c>
      <c r="M26" s="7">
        <v>43229</v>
      </c>
      <c r="N26" s="8">
        <v>18</v>
      </c>
      <c r="O26" s="8" t="str">
        <f>"005919"</f>
        <v>005919</v>
      </c>
      <c r="P26" s="7">
        <v>43763</v>
      </c>
      <c r="Q26" s="10">
        <v>17.919599999999999</v>
      </c>
      <c r="R26" s="10">
        <v>0.51192000000000004</v>
      </c>
      <c r="S26" s="10">
        <v>17.407679999999999</v>
      </c>
      <c r="T26" s="8">
        <v>13</v>
      </c>
      <c r="U26" s="7">
        <v>43781</v>
      </c>
      <c r="V26" s="8">
        <v>8023557744</v>
      </c>
      <c r="W26" s="9" t="s">
        <v>92</v>
      </c>
      <c r="X26" s="8" t="s">
        <v>93</v>
      </c>
      <c r="Y26" s="9" t="s">
        <v>94</v>
      </c>
      <c r="Z26" s="8" t="s">
        <v>48</v>
      </c>
      <c r="AA26" s="9" t="s">
        <v>49</v>
      </c>
      <c r="AB26" s="10">
        <v>0.17919599999999999</v>
      </c>
    </row>
    <row r="27" spans="1:28" s="4" customFormat="1" ht="13" x14ac:dyDescent="0.3">
      <c r="A27" s="5">
        <v>1177</v>
      </c>
      <c r="B27" s="6" t="s">
        <v>89</v>
      </c>
      <c r="C27" s="7">
        <v>43781</v>
      </c>
      <c r="D27" s="5">
        <v>33</v>
      </c>
      <c r="E27" s="9" t="s">
        <v>37</v>
      </c>
      <c r="F27" s="8" t="s">
        <v>99</v>
      </c>
      <c r="G27" s="9" t="s">
        <v>100</v>
      </c>
      <c r="H27" s="8" t="str">
        <f>"000198"</f>
        <v>000198</v>
      </c>
      <c r="I27" s="7">
        <v>43186</v>
      </c>
      <c r="J27" s="8" t="str">
        <f>"000008"</f>
        <v>000008</v>
      </c>
      <c r="K27" s="7">
        <v>43228</v>
      </c>
      <c r="L27" s="8" t="str">
        <f>"000019"</f>
        <v>000019</v>
      </c>
      <c r="M27" s="7">
        <v>43229</v>
      </c>
      <c r="N27" s="8">
        <v>18</v>
      </c>
      <c r="O27" s="8" t="str">
        <f>"005920"</f>
        <v>005920</v>
      </c>
      <c r="P27" s="7">
        <v>43763</v>
      </c>
      <c r="Q27" s="10">
        <v>17.91966</v>
      </c>
      <c r="R27" s="10">
        <v>0.51051999999999997</v>
      </c>
      <c r="S27" s="10">
        <v>17.409140000000001</v>
      </c>
      <c r="T27" s="8">
        <v>13</v>
      </c>
      <c r="U27" s="7">
        <v>43781</v>
      </c>
      <c r="V27" s="8">
        <v>8023557744</v>
      </c>
      <c r="W27" s="9" t="s">
        <v>92</v>
      </c>
      <c r="X27" s="8" t="s">
        <v>93</v>
      </c>
      <c r="Y27" s="9" t="s">
        <v>94</v>
      </c>
      <c r="Z27" s="8" t="s">
        <v>48</v>
      </c>
      <c r="AA27" s="9" t="s">
        <v>49</v>
      </c>
      <c r="AB27" s="10">
        <v>0.17919660000000001</v>
      </c>
    </row>
    <row r="28" spans="1:28" s="4" customFormat="1" ht="13" x14ac:dyDescent="0.3">
      <c r="A28" s="5">
        <v>1178</v>
      </c>
      <c r="B28" s="6" t="s">
        <v>89</v>
      </c>
      <c r="C28" s="7">
        <v>43781</v>
      </c>
      <c r="D28" s="5">
        <v>33</v>
      </c>
      <c r="E28" s="9" t="s">
        <v>37</v>
      </c>
      <c r="F28" s="8" t="s">
        <v>101</v>
      </c>
      <c r="G28" s="9" t="s">
        <v>102</v>
      </c>
      <c r="H28" s="8" t="str">
        <f>"000197"</f>
        <v>000197</v>
      </c>
      <c r="I28" s="7">
        <v>43186</v>
      </c>
      <c r="J28" s="8" t="str">
        <f>"000009"</f>
        <v>000009</v>
      </c>
      <c r="K28" s="7">
        <v>43228</v>
      </c>
      <c r="L28" s="8" t="str">
        <f>"000020"</f>
        <v>000020</v>
      </c>
      <c r="M28" s="7">
        <v>43229</v>
      </c>
      <c r="N28" s="8">
        <v>18</v>
      </c>
      <c r="O28" s="8" t="str">
        <f>"005921"</f>
        <v>005921</v>
      </c>
      <c r="P28" s="7">
        <v>43763</v>
      </c>
      <c r="Q28" s="10">
        <v>17.91966</v>
      </c>
      <c r="R28" s="10">
        <v>0.51061999999999996</v>
      </c>
      <c r="S28" s="10">
        <v>17.409040000000001</v>
      </c>
      <c r="T28" s="8">
        <v>13</v>
      </c>
      <c r="U28" s="7">
        <v>43781</v>
      </c>
      <c r="V28" s="8">
        <v>8023557744</v>
      </c>
      <c r="W28" s="9" t="s">
        <v>92</v>
      </c>
      <c r="X28" s="8" t="s">
        <v>93</v>
      </c>
      <c r="Y28" s="9" t="s">
        <v>94</v>
      </c>
      <c r="Z28" s="8" t="s">
        <v>48</v>
      </c>
      <c r="AA28" s="9" t="s">
        <v>49</v>
      </c>
      <c r="AB28" s="10">
        <v>0.17919660000000001</v>
      </c>
    </row>
    <row r="29" spans="1:28" s="4" customFormat="1" ht="13" x14ac:dyDescent="0.3">
      <c r="A29" s="5">
        <v>1179</v>
      </c>
      <c r="B29" s="6" t="s">
        <v>89</v>
      </c>
      <c r="C29" s="7">
        <v>43795</v>
      </c>
      <c r="D29" s="5">
        <v>33</v>
      </c>
      <c r="E29" s="9" t="s">
        <v>37</v>
      </c>
      <c r="F29" s="8" t="s">
        <v>103</v>
      </c>
      <c r="G29" s="9" t="s">
        <v>104</v>
      </c>
      <c r="H29" s="8" t="str">
        <f>"000143"</f>
        <v>000143</v>
      </c>
      <c r="I29" s="7">
        <v>43176</v>
      </c>
      <c r="J29" s="8" t="str">
        <f>"000059"</f>
        <v>000059</v>
      </c>
      <c r="K29" s="7">
        <v>43263</v>
      </c>
      <c r="L29" s="8" t="str">
        <f>"000059"</f>
        <v>000059</v>
      </c>
      <c r="M29" s="7">
        <v>43263</v>
      </c>
      <c r="N29" s="8">
        <v>18</v>
      </c>
      <c r="O29" s="8" t="str">
        <f>"006257"</f>
        <v>006257</v>
      </c>
      <c r="P29" s="7">
        <v>43783</v>
      </c>
      <c r="Q29" s="10">
        <v>46.856140000000003</v>
      </c>
      <c r="R29" s="10">
        <v>5.9077000000000002</v>
      </c>
      <c r="S29" s="10">
        <v>40.948439999999998</v>
      </c>
      <c r="T29" s="8">
        <v>13</v>
      </c>
      <c r="U29" s="7">
        <v>43795</v>
      </c>
      <c r="V29" s="8">
        <v>9945525730</v>
      </c>
      <c r="W29" s="9" t="s">
        <v>53</v>
      </c>
      <c r="X29" s="8" t="s">
        <v>58</v>
      </c>
      <c r="Y29" s="9" t="s">
        <v>59</v>
      </c>
      <c r="Z29" s="8" t="s">
        <v>34</v>
      </c>
      <c r="AA29" s="9" t="s">
        <v>35</v>
      </c>
      <c r="AB29" s="10">
        <v>0.46856140000000002</v>
      </c>
    </row>
    <row r="30" spans="1:28" s="4" customFormat="1" ht="13" x14ac:dyDescent="0.3">
      <c r="A30" s="5">
        <v>1180</v>
      </c>
      <c r="B30" s="6" t="s">
        <v>105</v>
      </c>
      <c r="C30" s="7">
        <v>43801</v>
      </c>
      <c r="D30" s="5">
        <v>33</v>
      </c>
      <c r="E30" s="9" t="s">
        <v>37</v>
      </c>
      <c r="F30" s="8" t="s">
        <v>106</v>
      </c>
      <c r="G30" s="9" t="s">
        <v>107</v>
      </c>
      <c r="H30" s="8" t="str">
        <f>"000145"</f>
        <v>000145</v>
      </c>
      <c r="I30" s="7">
        <v>43157</v>
      </c>
      <c r="J30" s="8" t="str">
        <f>"000035"</f>
        <v>000035</v>
      </c>
      <c r="K30" s="7">
        <v>43708</v>
      </c>
      <c r="L30" s="8" t="str">
        <f>"000075"</f>
        <v>000075</v>
      </c>
      <c r="M30" s="7">
        <v>43708</v>
      </c>
      <c r="N30" s="8">
        <v>18</v>
      </c>
      <c r="O30" s="8" t="str">
        <f>"006397"</f>
        <v>006397</v>
      </c>
      <c r="P30" s="7">
        <v>43794</v>
      </c>
      <c r="Q30" s="10">
        <v>4.98956</v>
      </c>
      <c r="R30" s="10">
        <v>0.30125999999999997</v>
      </c>
      <c r="S30" s="10">
        <v>4.6882999999999999</v>
      </c>
      <c r="T30" s="8">
        <v>13</v>
      </c>
      <c r="U30" s="7">
        <v>43801</v>
      </c>
      <c r="V30" s="8">
        <v>8023330521</v>
      </c>
      <c r="W30" s="9" t="s">
        <v>108</v>
      </c>
      <c r="X30" s="8" t="s">
        <v>109</v>
      </c>
      <c r="Y30" s="9" t="s">
        <v>110</v>
      </c>
      <c r="Z30" s="8" t="s">
        <v>48</v>
      </c>
      <c r="AA30" s="9" t="s">
        <v>49</v>
      </c>
      <c r="AB30" s="10">
        <v>4.9895599999999998E-2</v>
      </c>
    </row>
    <row r="31" spans="1:28" s="4" customFormat="1" ht="13" x14ac:dyDescent="0.3">
      <c r="A31" s="5">
        <v>1181</v>
      </c>
      <c r="B31" s="6" t="s">
        <v>105</v>
      </c>
      <c r="C31" s="7">
        <v>43801</v>
      </c>
      <c r="D31" s="5">
        <v>33</v>
      </c>
      <c r="E31" s="9" t="s">
        <v>37</v>
      </c>
      <c r="F31" s="8" t="s">
        <v>111</v>
      </c>
      <c r="G31" s="9" t="s">
        <v>112</v>
      </c>
      <c r="H31" s="8" t="str">
        <f>"000151"</f>
        <v>000151</v>
      </c>
      <c r="I31" s="7">
        <v>43157</v>
      </c>
      <c r="J31" s="8" t="str">
        <f>"000037"</f>
        <v>000037</v>
      </c>
      <c r="K31" s="7">
        <v>43708</v>
      </c>
      <c r="L31" s="8" t="str">
        <f>"000077"</f>
        <v>000077</v>
      </c>
      <c r="M31" s="7">
        <v>43708</v>
      </c>
      <c r="N31" s="8">
        <v>18</v>
      </c>
      <c r="O31" s="8" t="str">
        <f>"006398"</f>
        <v>006398</v>
      </c>
      <c r="P31" s="7">
        <v>43794</v>
      </c>
      <c r="Q31" s="10">
        <v>9.9865399999999998</v>
      </c>
      <c r="R31" s="10">
        <v>0.54832000000000003</v>
      </c>
      <c r="S31" s="10">
        <v>9.4382199999999994</v>
      </c>
      <c r="T31" s="8">
        <v>13</v>
      </c>
      <c r="U31" s="7">
        <v>43801</v>
      </c>
      <c r="V31" s="8">
        <v>8023330521</v>
      </c>
      <c r="W31" s="9" t="s">
        <v>108</v>
      </c>
      <c r="X31" s="8" t="s">
        <v>113</v>
      </c>
      <c r="Y31" s="9" t="s">
        <v>114</v>
      </c>
      <c r="Z31" s="8" t="s">
        <v>48</v>
      </c>
      <c r="AA31" s="9" t="s">
        <v>49</v>
      </c>
      <c r="AB31" s="10">
        <v>9.9865399999999993E-2</v>
      </c>
    </row>
    <row r="32" spans="1:28" s="4" customFormat="1" ht="13" x14ac:dyDescent="0.3">
      <c r="A32" s="5">
        <v>1182</v>
      </c>
      <c r="B32" s="6" t="s">
        <v>105</v>
      </c>
      <c r="C32" s="7">
        <v>43801</v>
      </c>
      <c r="D32" s="5">
        <v>33</v>
      </c>
      <c r="E32" s="9" t="s">
        <v>37</v>
      </c>
      <c r="F32" s="8" t="s">
        <v>115</v>
      </c>
      <c r="G32" s="9" t="s">
        <v>116</v>
      </c>
      <c r="H32" s="8" t="str">
        <f>"000148"</f>
        <v>000148</v>
      </c>
      <c r="I32" s="7">
        <v>43157</v>
      </c>
      <c r="J32" s="8" t="str">
        <f>"000038"</f>
        <v>000038</v>
      </c>
      <c r="K32" s="7">
        <v>43708</v>
      </c>
      <c r="L32" s="8" t="str">
        <f>"000078"</f>
        <v>000078</v>
      </c>
      <c r="M32" s="7">
        <v>43708</v>
      </c>
      <c r="N32" s="8">
        <v>18</v>
      </c>
      <c r="O32" s="8" t="str">
        <f>"006400"</f>
        <v>006400</v>
      </c>
      <c r="P32" s="7">
        <v>43794</v>
      </c>
      <c r="Q32" s="10">
        <v>4.9911700000000003</v>
      </c>
      <c r="R32" s="10">
        <v>0.2979</v>
      </c>
      <c r="S32" s="10">
        <v>4.6932700000000001</v>
      </c>
      <c r="T32" s="8">
        <v>13</v>
      </c>
      <c r="U32" s="7">
        <v>43801</v>
      </c>
      <c r="V32" s="8">
        <v>8023330521</v>
      </c>
      <c r="W32" s="9" t="s">
        <v>108</v>
      </c>
      <c r="X32" s="8" t="s">
        <v>117</v>
      </c>
      <c r="Y32" s="9" t="s">
        <v>118</v>
      </c>
      <c r="Z32" s="8" t="s">
        <v>48</v>
      </c>
      <c r="AA32" s="9" t="s">
        <v>49</v>
      </c>
      <c r="AB32" s="10">
        <v>4.9911700000000003E-2</v>
      </c>
    </row>
    <row r="33" spans="1:28" s="4" customFormat="1" ht="13" x14ac:dyDescent="0.3">
      <c r="A33" s="5">
        <v>1183</v>
      </c>
      <c r="B33" s="6" t="s">
        <v>105</v>
      </c>
      <c r="C33" s="7">
        <v>43805</v>
      </c>
      <c r="D33" s="5">
        <v>33</v>
      </c>
      <c r="E33" s="9" t="s">
        <v>37</v>
      </c>
      <c r="F33" s="8" t="s">
        <v>42</v>
      </c>
      <c r="G33" s="9" t="s">
        <v>43</v>
      </c>
      <c r="H33" s="8" t="str">
        <f>"000017"</f>
        <v>000017</v>
      </c>
      <c r="I33" s="7">
        <v>42947</v>
      </c>
      <c r="J33" s="8" t="str">
        <f>"000141"</f>
        <v>000141</v>
      </c>
      <c r="K33" s="7">
        <v>43805</v>
      </c>
      <c r="L33" s="8" t="str">
        <f>"000141"</f>
        <v>000141</v>
      </c>
      <c r="M33" s="7">
        <v>43805</v>
      </c>
      <c r="N33" s="8">
        <v>16</v>
      </c>
      <c r="O33" s="8" t="str">
        <f>"006914"</f>
        <v>006914</v>
      </c>
      <c r="P33" s="7">
        <v>43819</v>
      </c>
      <c r="Q33" s="10">
        <v>1.3710599999999999</v>
      </c>
      <c r="R33" s="10">
        <v>0.19172</v>
      </c>
      <c r="S33" s="10">
        <v>1.1793400000000001</v>
      </c>
      <c r="T33" s="8">
        <v>13</v>
      </c>
      <c r="U33" s="7">
        <v>43805</v>
      </c>
      <c r="V33" s="8">
        <v>9845267052</v>
      </c>
      <c r="W33" s="9" t="s">
        <v>44</v>
      </c>
      <c r="X33" s="8" t="s">
        <v>29</v>
      </c>
      <c r="Y33" s="9" t="s">
        <v>30</v>
      </c>
      <c r="Z33" s="8" t="s">
        <v>34</v>
      </c>
      <c r="AA33" s="9" t="s">
        <v>35</v>
      </c>
      <c r="AB33" s="10">
        <v>1.37106E-2</v>
      </c>
    </row>
    <row r="34" spans="1:28" s="4" customFormat="1" ht="13" x14ac:dyDescent="0.3">
      <c r="A34" s="5">
        <v>1184</v>
      </c>
      <c r="B34" s="6" t="s">
        <v>105</v>
      </c>
      <c r="C34" s="7">
        <v>43806</v>
      </c>
      <c r="D34" s="5">
        <v>33</v>
      </c>
      <c r="E34" s="9" t="s">
        <v>37</v>
      </c>
      <c r="F34" s="8" t="s">
        <v>119</v>
      </c>
      <c r="G34" s="9" t="s">
        <v>120</v>
      </c>
      <c r="H34" s="8" t="str">
        <f>"000146"</f>
        <v>000146</v>
      </c>
      <c r="I34" s="7">
        <v>43157</v>
      </c>
      <c r="J34" s="8" t="str">
        <f>"000036"</f>
        <v>000036</v>
      </c>
      <c r="K34" s="7">
        <v>43708</v>
      </c>
      <c r="L34" s="8" t="str">
        <f>"000076"</f>
        <v>000076</v>
      </c>
      <c r="M34" s="7">
        <v>43708</v>
      </c>
      <c r="N34" s="8">
        <v>18</v>
      </c>
      <c r="O34" s="8" t="str">
        <f>"006519"</f>
        <v>006519</v>
      </c>
      <c r="P34" s="7">
        <v>43802</v>
      </c>
      <c r="Q34" s="10">
        <v>14.99832</v>
      </c>
      <c r="R34" s="10">
        <v>0.80376999999999998</v>
      </c>
      <c r="S34" s="10">
        <v>14.19455</v>
      </c>
      <c r="T34" s="8">
        <v>13</v>
      </c>
      <c r="U34" s="7">
        <v>43806</v>
      </c>
      <c r="V34" s="8">
        <v>8023330521</v>
      </c>
      <c r="W34" s="9" t="s">
        <v>108</v>
      </c>
      <c r="X34" s="8" t="s">
        <v>121</v>
      </c>
      <c r="Y34" s="9" t="s">
        <v>122</v>
      </c>
      <c r="Z34" s="8" t="s">
        <v>48</v>
      </c>
      <c r="AA34" s="9" t="s">
        <v>49</v>
      </c>
      <c r="AB34" s="10">
        <v>0.14998319999999998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2020-01-28T11:43:15Z</dcterms:modified>
</cp:coreProperties>
</file>