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<sst xmlns="http://schemas.openxmlformats.org/spreadsheetml/2006/main" count="361" uniqueCount="155">
  <si>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</si>
  <si>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</si>
  <si>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</si>
  <si>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</si>
  <si>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</si>
  <si>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</si>
  <si>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</si>
  <si>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</si>
  <si>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</si>
  <si>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</si>
  <si>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</si>
  <si>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</si>
  <si>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</si>
  <si>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</si>
  <si>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</si>
  <si>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</si>
  <si>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</si>
  <si>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</si>
  <si>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</si>
  <si>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</si>
  <si>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</si>
  <si>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</si>
  <si>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</si>
  <si>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</si>
  <si>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</si>
  <si>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</si>
  <si>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</si>
  <si>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</si>
  <si>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</si>
  <si>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</si>
  <si>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</si>
  <si>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</si>
  <si>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</si>
  <si>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</si>
  <si>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</si>
  <si>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P2415</t>
  </si>
  <si>
    <t>Reserve fund for TandF Committee</t>
  </si>
  <si>
    <t>Aramane Nagara</t>
  </si>
  <si>
    <t>035-17-000046</t>
  </si>
  <si>
    <t>Construction of College Building at 18th cross Malleshwaram in ward no 35</t>
  </si>
  <si>
    <t xml:space="preserve">Sri. Ramakrishnappa K </t>
  </si>
  <si>
    <t>P3176</t>
  </si>
  <si>
    <t>Developmental works in Ward No. 82, 06,16,44,70,17,26,13,79,35 ( Rs. 300.00 lakhs per each ward)</t>
  </si>
  <si>
    <t>ddo208</t>
  </si>
  <si>
    <t xml:space="preserve"> Assistant Executive Engineer Mathikere West Zone</t>
  </si>
  <si>
    <t>035-18-000051</t>
  </si>
  <si>
    <t xml:space="preserve">Providing Additional Pipeline to Existing Water Schemes in Ward no.35 </t>
  </si>
  <si>
    <t xml:space="preserve">Sri Govindaraju P </t>
  </si>
  <si>
    <t>035-17-000021</t>
  </si>
  <si>
    <t>Providing and fixing C.C. Camera in Aramane Nagar Ward No-35.</t>
  </si>
  <si>
    <t xml:space="preserve">Sri.Dhananjaya. B.S, </t>
  </si>
  <si>
    <t>035-19-000003</t>
  </si>
  <si>
    <t>Improvements of Parks in ward no 35</t>
  </si>
  <si>
    <t xml:space="preserve">Sri P Santhosh </t>
  </si>
  <si>
    <t>P3292</t>
  </si>
  <si>
    <t>14th Finance Commission Works - Community Property Maintenance (including Parks)</t>
  </si>
  <si>
    <t>035-16-000004</t>
  </si>
  <si>
    <t xml:space="preserve"> Annual Operation And maintenance Of Street Lights at Aramanenagara in Ward No- 35</t>
  </si>
  <si>
    <t>Chaithanya Electricals</t>
  </si>
  <si>
    <t>ddo209</t>
  </si>
  <si>
    <t xml:space="preserve"> Assistant Executive Engineer Electrical West Zone</t>
  </si>
  <si>
    <t>035-14-000019</t>
  </si>
  <si>
    <t xml:space="preserve">Providing and Installing Shudder and cutter in ward no.35 </t>
  </si>
  <si>
    <t xml:space="preserve">Dhananjaya B S </t>
  </si>
  <si>
    <t>035-14-000041</t>
  </si>
  <si>
    <t>Construction of Modern compound and Tennis court in ward no 35</t>
  </si>
  <si>
    <t xml:space="preserve">Executive Engineer-2 KRIDL BBMP (West) </t>
  </si>
  <si>
    <t>035-17-000013</t>
  </si>
  <si>
    <t>Providing and Fixing Name Boards and Street Name Boards in Aramane Nagar Ward No-35.</t>
  </si>
  <si>
    <t xml:space="preserve">Sri. Govindegowda, </t>
  </si>
  <si>
    <t>035-18-000030</t>
  </si>
  <si>
    <t>Providing Children equipments in AGS Layout Park in ward no 35</t>
  </si>
  <si>
    <t xml:space="preserve">Sri C Devaraj </t>
  </si>
  <si>
    <t>P3316</t>
  </si>
  <si>
    <t>Special Development works at ward No.82, 6, 16, 44, 70, 17, 26, 13, 79, 35 Rs.8.00 Cr each</t>
  </si>
  <si>
    <t>July</t>
  </si>
  <si>
    <t>035-17-000072</t>
  </si>
  <si>
    <t>De-silting of Drains in ward no 35 Aramanenagar</t>
  </si>
  <si>
    <t>035-18-000018</t>
  </si>
  <si>
    <t>Providing water supply schemes to Ashwath Nagara in ward no 35</t>
  </si>
  <si>
    <t>HEMANTH L</t>
  </si>
  <si>
    <t>035-18-000025</t>
  </si>
  <si>
    <t>Providing and fixing Children Equipments in Low Level Park in ward no 35</t>
  </si>
  <si>
    <t>035-18-000011</t>
  </si>
  <si>
    <t>Providing open Gym in Kempegowda Park in ward no 35 Aramane Nagara</t>
  </si>
  <si>
    <t>035-17-000049</t>
  </si>
  <si>
    <t>Providing and fixing children s play equipments at Sankey tank play area in ward no 35</t>
  </si>
  <si>
    <t>035-17-000012</t>
  </si>
  <si>
    <t>Desilting and Silt and Tractor for Sadashivanagar Area in Aramanenagar Ward no.35</t>
  </si>
  <si>
    <t xml:space="preserve"> Sri T Jayaprakash</t>
  </si>
  <si>
    <t>035-17-000084</t>
  </si>
  <si>
    <t>Construction of Sheltar and Power Conection For Shredder in Swimming Pool Park</t>
  </si>
  <si>
    <t>Naveena D G</t>
  </si>
  <si>
    <t>P3158</t>
  </si>
  <si>
    <t>SIP Infrastructure Project works</t>
  </si>
  <si>
    <t>ddo326</t>
  </si>
  <si>
    <t xml:space="preserve"> Executive Engineer SWM 1 Central Zone</t>
  </si>
  <si>
    <t>August</t>
  </si>
  <si>
    <t>035-17-000016</t>
  </si>
  <si>
    <t>Construction of Toilets in Aramane Nagar Ward No-35.</t>
  </si>
  <si>
    <t>Sri Yashas L</t>
  </si>
  <si>
    <t>035-18-000012</t>
  </si>
  <si>
    <t>Reconstruction of culverts in ward no 35 Aramane Nagara</t>
  </si>
  <si>
    <t>September</t>
  </si>
  <si>
    <t>035-19-000007</t>
  </si>
  <si>
    <t>Develpment works in Mathikere AK colony and surroundings in ward no-35`</t>
  </si>
  <si>
    <t>Executive Engineer-2 KRIDL BBMP (West)</t>
  </si>
  <si>
    <t>P1878</t>
  </si>
  <si>
    <t>18per - Works (Bhagyajyothi, Sooru / Neeru Yojane and General) (54 Lakhs / New Wards)</t>
  </si>
  <si>
    <t>035-17-000020</t>
  </si>
  <si>
    <t>Providing and Repairs to Street light to Aramanenagar in ward no.35</t>
  </si>
  <si>
    <t>Sai Electric Com</t>
  </si>
  <si>
    <t>035-18-000060</t>
  </si>
  <si>
    <t xml:space="preserve">Improvement works to Virendra patil park in ward no.35 </t>
  </si>
  <si>
    <t>October</t>
  </si>
  <si>
    <t>035-18-000047</t>
  </si>
  <si>
    <t>Emergency Works in Ashwath Nagara in Ward No -35.</t>
  </si>
  <si>
    <t>035-18-000023</t>
  </si>
  <si>
    <t>Providing Children and Gym Equipments in RMV Park in ward no 35</t>
  </si>
  <si>
    <t>V Ponnuswamy</t>
  </si>
  <si>
    <t>035-18-000046</t>
  </si>
  <si>
    <t xml:space="preserve">Emergency Works in MSR Nagara in Ward No-35. </t>
  </si>
  <si>
    <t>035-17-000082</t>
  </si>
  <si>
    <t>Purchase of Shredder in Swimming pool Park</t>
  </si>
  <si>
    <t>035-17-000083</t>
  </si>
  <si>
    <t>Purchase of Shredder in Kempegowda Tower park</t>
  </si>
  <si>
    <t>035-19-000002</t>
  </si>
  <si>
    <t>Maintenance of Ward Office in ward no 35</t>
  </si>
  <si>
    <t>Anand Kumar R</t>
  </si>
  <si>
    <t>P3291</t>
  </si>
  <si>
    <t>14th Fin -Maintenance of Cremotorium, Burial Grounds</t>
  </si>
  <si>
    <t>035-19-000005</t>
  </si>
  <si>
    <t>Repairs to Toilet in ward no 35 Aramanenagar</t>
  </si>
  <si>
    <t>Suresh babu P</t>
  </si>
  <si>
    <t>P3294</t>
  </si>
  <si>
    <t>14th Finance Commission Works - General Public ToiletandSeptage Maintenance</t>
  </si>
  <si>
    <t>November</t>
  </si>
  <si>
    <t>035-17-000073</t>
  </si>
  <si>
    <t>Construction of Plant Room filter toilets, repacing of tiles and improvements to swimming pool in ward no 35</t>
  </si>
  <si>
    <t>M/s KRIDL BBMP (West)</t>
  </si>
  <si>
    <t>P0190</t>
  </si>
  <si>
    <t>Works sanctioned by Hon Mayor</t>
  </si>
  <si>
    <t>December</t>
  </si>
  <si>
    <t>035-18-000028</t>
  </si>
  <si>
    <t>Improvements to Low Level Park in ward no 35</t>
  </si>
  <si>
    <t>035-18-000049</t>
  </si>
  <si>
    <t xml:space="preserve">Emergency Works in East park West park in Ward No -35. </t>
  </si>
  <si>
    <t xml:space="preserve">Sri. C Raju </t>
  </si>
  <si>
    <t>035-18-000001</t>
  </si>
  <si>
    <t>Desilting of existing drains in Balanjaneya Temple road and Kariyappa layout in ward no 35</t>
  </si>
  <si>
    <t xml:space="preserve">Suresh Babu P </t>
  </si>
  <si>
    <t>P3261</t>
  </si>
  <si>
    <t>Zone Works Special Grants to Womens represented wards Rs.20.00 Lakhs per ward</t>
  </si>
  <si>
    <t>035-18-000048</t>
  </si>
  <si>
    <t xml:space="preserve">Emergency Works in Sadashiva Nagara in Ward No -35.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</si>
</sst>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A2" sqref="A2:XFD3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1198</v>
      </c>
      <c r="B2" s="6" t="s">
        <v>28</v>
      </c>
      <c r="C2" s="7">
        <v>43566</v>
      </c>
      <c r="D2" s="8">
        <v>35</v>
      </c>
      <c r="E2" s="9" t="s">
        <v>37</v>
      </c>
      <c r="F2" s="8" t="s">
        <v>38</v>
      </c>
      <c r="G2" s="9" t="s">
        <v>39</v>
      </c>
      <c r="H2" s="8" t="str">
        <f>"000241"</f>
        <v>000241</v>
      </c>
      <c r="I2" s="7">
        <v>43161</v>
      </c>
      <c r="J2" s="8" t="str">
        <f>"000081"</f>
        <v>000081</v>
      </c>
      <c r="K2" s="7">
        <v>43263</v>
      </c>
      <c r="L2" s="8" t="str">
        <f>"000090"</f>
        <v>000090</v>
      </c>
      <c r="M2" s="7">
        <v>43274</v>
      </c>
      <c r="N2" s="8">
        <v>17</v>
      </c>
      <c r="O2" s="8" t="str">
        <f>"000162"</f>
        <v>000162</v>
      </c>
      <c r="P2" s="7">
        <v>43563</v>
      </c>
      <c r="Q2" s="10">
        <v>66.370739999999998</v>
      </c>
      <c r="R2" s="10">
        <v>3.1007400000000001</v>
      </c>
      <c r="S2" s="10">
        <v>63.27</v>
      </c>
      <c r="T2" s="8">
        <v>11</v>
      </c>
      <c r="U2" s="7">
        <v>43566</v>
      </c>
      <c r="V2" s="8">
        <v>9448059984</v>
      </c>
      <c r="W2" s="9" t="s">
        <v>40</v>
      </c>
      <c r="X2" s="8" t="s">
        <v>41</v>
      </c>
      <c r="Y2" s="9" t="s">
        <v>42</v>
      </c>
      <c r="Z2" s="8" t="s">
        <v>43</v>
      </c>
      <c r="AA2" s="9" t="s">
        <v>44</v>
      </c>
      <c r="AB2" s="10">
        <f t="shared" ref="AB2:AB9" si="0">Q2/100</f>
        <v>0.66370739999999995</v>
      </c>
    </row>
    <row r="3" spans="1:28" s="4" customFormat="1" ht="13" x14ac:dyDescent="0.3">
      <c r="A3" s="5">
        <v>1199</v>
      </c>
      <c r="B3" s="6" t="s">
        <v>28</v>
      </c>
      <c r="C3" s="7">
        <v>43566</v>
      </c>
      <c r="D3" s="8">
        <v>35</v>
      </c>
      <c r="E3" s="9" t="s">
        <v>37</v>
      </c>
      <c r="F3" s="8" t="s">
        <v>45</v>
      </c>
      <c r="G3" s="9" t="s">
        <v>46</v>
      </c>
      <c r="H3" s="8" t="str">
        <f>"000013"</f>
        <v>000013</v>
      </c>
      <c r="I3" s="7">
        <v>43201</v>
      </c>
      <c r="J3" s="8" t="str">
        <f>"000005"</f>
        <v>000005</v>
      </c>
      <c r="K3" s="7">
        <v>43215</v>
      </c>
      <c r="L3" s="8" t="str">
        <f>"000003"</f>
        <v>000003</v>
      </c>
      <c r="M3" s="7">
        <v>43218</v>
      </c>
      <c r="N3" s="8">
        <v>18</v>
      </c>
      <c r="O3" s="8" t="str">
        <f>"000193"</f>
        <v>000193</v>
      </c>
      <c r="P3" s="7">
        <v>43563</v>
      </c>
      <c r="Q3" s="10">
        <v>4.2935699999999999</v>
      </c>
      <c r="R3" s="10">
        <v>0.21929999999999999</v>
      </c>
      <c r="S3" s="10">
        <v>4.0742700000000003</v>
      </c>
      <c r="T3" s="8">
        <v>11</v>
      </c>
      <c r="U3" s="7">
        <v>43566</v>
      </c>
      <c r="V3" s="8">
        <v>8022975610</v>
      </c>
      <c r="W3" s="9" t="s">
        <v>47</v>
      </c>
      <c r="X3" s="8" t="s">
        <v>32</v>
      </c>
      <c r="Y3" s="9" t="s">
        <v>33</v>
      </c>
      <c r="Z3" s="8" t="s">
        <v>43</v>
      </c>
      <c r="AA3" s="9" t="s">
        <v>44</v>
      </c>
      <c r="AB3" s="10">
        <f t="shared" si="0"/>
        <v>4.29357E-2</v>
      </c>
    </row>
    <row r="4" spans="1:28" s="4" customFormat="1" ht="13" x14ac:dyDescent="0.3">
      <c r="A4" s="5">
        <v>1200</v>
      </c>
      <c r="B4" s="6" t="s">
        <v>34</v>
      </c>
      <c r="C4" s="7">
        <v>43598</v>
      </c>
      <c r="D4" s="8">
        <v>35</v>
      </c>
      <c r="E4" s="9" t="s">
        <v>37</v>
      </c>
      <c r="F4" s="8" t="s">
        <v>51</v>
      </c>
      <c r="G4" s="9" t="s">
        <v>52</v>
      </c>
      <c r="H4" s="8" t="str">
        <f>"000369"</f>
        <v>000369</v>
      </c>
      <c r="I4" s="7">
        <v>43549</v>
      </c>
      <c r="J4" s="8" t="str">
        <f>"000194"</f>
        <v>000194</v>
      </c>
      <c r="K4" s="7">
        <v>43548</v>
      </c>
      <c r="L4" s="8" t="str">
        <f>"000287"</f>
        <v>000287</v>
      </c>
      <c r="M4" s="7">
        <v>43550</v>
      </c>
      <c r="N4" s="8">
        <v>19</v>
      </c>
      <c r="O4" s="8" t="str">
        <f>"001409"</f>
        <v>001409</v>
      </c>
      <c r="P4" s="7">
        <v>43595</v>
      </c>
      <c r="Q4" s="10">
        <v>2.0733999999999999</v>
      </c>
      <c r="R4" s="10">
        <v>0.114</v>
      </c>
      <c r="S4" s="10">
        <v>1.9594</v>
      </c>
      <c r="T4" s="8">
        <v>41</v>
      </c>
      <c r="U4" s="7">
        <v>43598</v>
      </c>
      <c r="V4" s="8">
        <v>9964124916</v>
      </c>
      <c r="W4" s="9" t="s">
        <v>53</v>
      </c>
      <c r="X4" s="8" t="s">
        <v>54</v>
      </c>
      <c r="Y4" s="9" t="s">
        <v>55</v>
      </c>
      <c r="Z4" s="8" t="s">
        <v>43</v>
      </c>
      <c r="AA4" s="9" t="s">
        <v>44</v>
      </c>
      <c r="AB4" s="10">
        <f t="shared" si="0"/>
        <v>2.0733999999999999E-2</v>
      </c>
    </row>
    <row r="5" spans="1:28" s="4" customFormat="1" ht="13" x14ac:dyDescent="0.3">
      <c r="A5" s="5">
        <v>1201</v>
      </c>
      <c r="B5" s="6" t="s">
        <v>34</v>
      </c>
      <c r="C5" s="7">
        <v>43606</v>
      </c>
      <c r="D5" s="8">
        <v>35</v>
      </c>
      <c r="E5" s="9" t="s">
        <v>37</v>
      </c>
      <c r="F5" s="8" t="s">
        <v>56</v>
      </c>
      <c r="G5" s="9" t="s">
        <v>57</v>
      </c>
      <c r="H5" s="8" t="str">
        <f>"000010"</f>
        <v>000010</v>
      </c>
      <c r="I5" s="7">
        <v>42931</v>
      </c>
      <c r="J5" s="8" t="str">
        <f>"000239"</f>
        <v>000239</v>
      </c>
      <c r="K5" s="7">
        <v>43518</v>
      </c>
      <c r="L5" s="8" t="str">
        <f>"000238"</f>
        <v>000238</v>
      </c>
      <c r="M5" s="7">
        <v>43518</v>
      </c>
      <c r="N5" s="8">
        <v>16</v>
      </c>
      <c r="O5" s="8" t="str">
        <f>"001765"</f>
        <v>001765</v>
      </c>
      <c r="P5" s="7">
        <v>43603</v>
      </c>
      <c r="Q5" s="10">
        <v>15.50886</v>
      </c>
      <c r="R5" s="10">
        <v>1.53322</v>
      </c>
      <c r="S5" s="10">
        <v>13.97564</v>
      </c>
      <c r="T5" s="8">
        <v>55</v>
      </c>
      <c r="U5" s="7">
        <v>43606</v>
      </c>
      <c r="V5" s="8">
        <v>9845267052</v>
      </c>
      <c r="W5" s="9" t="s">
        <v>58</v>
      </c>
      <c r="X5" s="8" t="s">
        <v>29</v>
      </c>
      <c r="Y5" s="9" t="s">
        <v>30</v>
      </c>
      <c r="Z5" s="8" t="s">
        <v>59</v>
      </c>
      <c r="AA5" s="9" t="s">
        <v>60</v>
      </c>
      <c r="AB5" s="10">
        <f t="shared" si="0"/>
        <v>0.15508859999999999</v>
      </c>
    </row>
    <row r="6" spans="1:28" s="4" customFormat="1" ht="13" x14ac:dyDescent="0.3">
      <c r="A6" s="5">
        <v>1202</v>
      </c>
      <c r="B6" s="6" t="s">
        <v>34</v>
      </c>
      <c r="C6" s="7">
        <v>43609</v>
      </c>
      <c r="D6" s="8">
        <v>35</v>
      </c>
      <c r="E6" s="9" t="s">
        <v>37</v>
      </c>
      <c r="F6" s="8" t="s">
        <v>61</v>
      </c>
      <c r="G6" s="9" t="s">
        <v>62</v>
      </c>
      <c r="H6" s="8" t="str">
        <f>"000031"</f>
        <v>000031</v>
      </c>
      <c r="I6" s="7">
        <v>43023</v>
      </c>
      <c r="J6" s="8" t="str">
        <f>"000013"</f>
        <v>000013</v>
      </c>
      <c r="K6" s="7">
        <v>43036</v>
      </c>
      <c r="L6" s="8" t="str">
        <f>"000017"</f>
        <v>000017</v>
      </c>
      <c r="M6" s="7">
        <v>43039</v>
      </c>
      <c r="N6" s="8">
        <v>14</v>
      </c>
      <c r="O6" s="8" t="str">
        <f>"001935"</f>
        <v>001935</v>
      </c>
      <c r="P6" s="7">
        <v>43607</v>
      </c>
      <c r="Q6" s="10">
        <v>5.2249999999999996</v>
      </c>
      <c r="R6" s="10">
        <v>0.25918000000000002</v>
      </c>
      <c r="S6" s="10">
        <v>4.9658199999999999</v>
      </c>
      <c r="T6" s="8">
        <v>57</v>
      </c>
      <c r="U6" s="7">
        <v>43609</v>
      </c>
      <c r="V6" s="8">
        <v>8022975610</v>
      </c>
      <c r="W6" s="9" t="s">
        <v>63</v>
      </c>
      <c r="X6" s="8" t="s">
        <v>32</v>
      </c>
      <c r="Y6" s="9" t="s">
        <v>33</v>
      </c>
      <c r="Z6" s="8" t="s">
        <v>43</v>
      </c>
      <c r="AA6" s="9" t="s">
        <v>44</v>
      </c>
      <c r="AB6" s="10">
        <f t="shared" si="0"/>
        <v>5.2249999999999998E-2</v>
      </c>
    </row>
    <row r="7" spans="1:28" s="4" customFormat="1" ht="13" x14ac:dyDescent="0.3">
      <c r="A7" s="5">
        <v>1203</v>
      </c>
      <c r="B7" s="6" t="s">
        <v>34</v>
      </c>
      <c r="C7" s="7">
        <v>43609</v>
      </c>
      <c r="D7" s="8">
        <v>35</v>
      </c>
      <c r="E7" s="9" t="s">
        <v>37</v>
      </c>
      <c r="F7" s="8" t="s">
        <v>64</v>
      </c>
      <c r="G7" s="9" t="s">
        <v>65</v>
      </c>
      <c r="H7" s="8" t="str">
        <f>"000189"</f>
        <v>000189</v>
      </c>
      <c r="I7" s="7">
        <v>41702</v>
      </c>
      <c r="J7" s="8" t="str">
        <f>"000069"</f>
        <v>000069</v>
      </c>
      <c r="K7" s="7">
        <v>41851</v>
      </c>
      <c r="L7" s="8" t="str">
        <f>"000224"</f>
        <v>000224</v>
      </c>
      <c r="M7" s="7">
        <v>41851</v>
      </c>
      <c r="N7" s="8">
        <v>14</v>
      </c>
      <c r="O7" s="8" t="str">
        <f>"002783"</f>
        <v>002783</v>
      </c>
      <c r="P7" s="7">
        <v>42541</v>
      </c>
      <c r="Q7" s="10">
        <v>17.991969999999998</v>
      </c>
      <c r="R7" s="10">
        <v>1.9899</v>
      </c>
      <c r="S7" s="10">
        <v>16.00207</v>
      </c>
      <c r="T7" s="8">
        <v>57</v>
      </c>
      <c r="U7" s="7">
        <v>43609</v>
      </c>
      <c r="V7" s="8">
        <v>8022975610</v>
      </c>
      <c r="W7" s="9" t="s">
        <v>66</v>
      </c>
      <c r="X7" s="8" t="s">
        <v>35</v>
      </c>
      <c r="Y7" s="9" t="s">
        <v>36</v>
      </c>
      <c r="Z7" s="8" t="s">
        <v>43</v>
      </c>
      <c r="AA7" s="9" t="s">
        <v>44</v>
      </c>
      <c r="AB7" s="10">
        <f t="shared" si="0"/>
        <v>0.17991969999999999</v>
      </c>
    </row>
    <row r="8" spans="1:28" s="4" customFormat="1" ht="13" x14ac:dyDescent="0.3">
      <c r="A8" s="5">
        <v>1204</v>
      </c>
      <c r="B8" s="6" t="s">
        <v>34</v>
      </c>
      <c r="C8" s="7">
        <v>43609</v>
      </c>
      <c r="D8" s="8">
        <v>35</v>
      </c>
      <c r="E8" s="9" t="s">
        <v>37</v>
      </c>
      <c r="F8" s="8" t="s">
        <v>67</v>
      </c>
      <c r="G8" s="9" t="s">
        <v>68</v>
      </c>
      <c r="H8" s="8" t="str">
        <f>"000054"</f>
        <v>000054</v>
      </c>
      <c r="I8" s="7">
        <v>43039</v>
      </c>
      <c r="J8" s="8" t="str">
        <f>"000021"</f>
        <v>000021</v>
      </c>
      <c r="K8" s="7">
        <v>43039</v>
      </c>
      <c r="L8" s="8" t="str">
        <f>"000029"</f>
        <v>000029</v>
      </c>
      <c r="M8" s="7">
        <v>43039</v>
      </c>
      <c r="N8" s="8">
        <v>17</v>
      </c>
      <c r="O8" s="8" t="str">
        <f>"001938"</f>
        <v>001938</v>
      </c>
      <c r="P8" s="7">
        <v>43607</v>
      </c>
      <c r="Q8" s="10">
        <v>6.0182500000000001</v>
      </c>
      <c r="R8" s="10">
        <v>0.3034</v>
      </c>
      <c r="S8" s="10">
        <v>5.7148500000000002</v>
      </c>
      <c r="T8" s="8">
        <v>57</v>
      </c>
      <c r="U8" s="7">
        <v>43609</v>
      </c>
      <c r="V8" s="8">
        <v>9964124916</v>
      </c>
      <c r="W8" s="9" t="s">
        <v>69</v>
      </c>
      <c r="X8" s="8" t="s">
        <v>32</v>
      </c>
      <c r="Y8" s="9" t="s">
        <v>33</v>
      </c>
      <c r="Z8" s="8" t="s">
        <v>43</v>
      </c>
      <c r="AA8" s="9" t="s">
        <v>44</v>
      </c>
      <c r="AB8" s="10">
        <f t="shared" si="0"/>
        <v>6.01825E-2</v>
      </c>
    </row>
    <row r="9" spans="1:28" s="4" customFormat="1" ht="13" x14ac:dyDescent="0.3">
      <c r="A9" s="5">
        <v>1205</v>
      </c>
      <c r="B9" s="6" t="s">
        <v>34</v>
      </c>
      <c r="C9" s="7">
        <v>43610</v>
      </c>
      <c r="D9" s="8">
        <v>35</v>
      </c>
      <c r="E9" s="9" t="s">
        <v>37</v>
      </c>
      <c r="F9" s="8" t="s">
        <v>70</v>
      </c>
      <c r="G9" s="9" t="s">
        <v>71</v>
      </c>
      <c r="H9" s="8" t="str">
        <f>"000128"</f>
        <v>000128</v>
      </c>
      <c r="I9" s="7">
        <v>43109</v>
      </c>
      <c r="J9" s="8" t="str">
        <f>"000052"</f>
        <v>000052</v>
      </c>
      <c r="K9" s="7">
        <v>43158</v>
      </c>
      <c r="L9" s="8" t="str">
        <f>"000117"</f>
        <v>000117</v>
      </c>
      <c r="M9" s="7">
        <v>43159</v>
      </c>
      <c r="N9" s="8">
        <v>18</v>
      </c>
      <c r="O9" s="8" t="str">
        <f>"002022"</f>
        <v>002022</v>
      </c>
      <c r="P9" s="7">
        <v>43608</v>
      </c>
      <c r="Q9" s="10">
        <v>5.4397500000000001</v>
      </c>
      <c r="R9" s="10">
        <v>0.28275</v>
      </c>
      <c r="S9" s="10">
        <v>5.157</v>
      </c>
      <c r="T9" s="8">
        <v>59</v>
      </c>
      <c r="U9" s="7">
        <v>43610</v>
      </c>
      <c r="V9" s="8">
        <v>8022975610</v>
      </c>
      <c r="W9" s="9" t="s">
        <v>72</v>
      </c>
      <c r="X9" s="8" t="s">
        <v>73</v>
      </c>
      <c r="Y9" s="9" t="s">
        <v>74</v>
      </c>
      <c r="Z9" s="8" t="s">
        <v>43</v>
      </c>
      <c r="AA9" s="9" t="s">
        <v>44</v>
      </c>
      <c r="AB9" s="10">
        <f t="shared" si="0"/>
        <v>5.4397500000000001E-2</v>
      </c>
    </row>
    <row r="10" spans="1:28" s="4" customFormat="1" ht="13" x14ac:dyDescent="0.3">
      <c r="A10" s="5">
        <v>1206</v>
      </c>
      <c r="B10" s="6" t="s">
        <v>31</v>
      </c>
      <c r="C10" s="7">
        <v>43628</v>
      </c>
      <c r="D10" s="8">
        <v>35</v>
      </c>
      <c r="E10" s="9" t="s">
        <v>37</v>
      </c>
      <c r="F10" s="8" t="s">
        <v>48</v>
      </c>
      <c r="G10" s="9" t="s">
        <v>49</v>
      </c>
      <c r="H10" s="8" t="str">
        <f>"000007"</f>
        <v>000007</v>
      </c>
      <c r="I10" s="7">
        <v>42957</v>
      </c>
      <c r="J10" s="8" t="str">
        <f>"000006"</f>
        <v>000006</v>
      </c>
      <c r="K10" s="7">
        <v>42985</v>
      </c>
      <c r="L10" s="8" t="str">
        <f>"000006"</f>
        <v>000006</v>
      </c>
      <c r="M10" s="7">
        <v>42985</v>
      </c>
      <c r="N10" s="8">
        <v>17</v>
      </c>
      <c r="O10" s="8" t="str">
        <f>"002576"</f>
        <v>002576</v>
      </c>
      <c r="P10" s="7">
        <v>43627</v>
      </c>
      <c r="Q10" s="10">
        <v>9.3993900000000004</v>
      </c>
      <c r="R10" s="10">
        <v>0.60160000000000002</v>
      </c>
      <c r="S10" s="10">
        <v>8.7977900000000009</v>
      </c>
      <c r="T10" s="8">
        <v>76</v>
      </c>
      <c r="U10" s="7">
        <v>43628</v>
      </c>
      <c r="V10" s="8">
        <v>8022975610</v>
      </c>
      <c r="W10" s="9" t="s">
        <v>50</v>
      </c>
      <c r="X10" s="8" t="s">
        <v>32</v>
      </c>
      <c r="Y10" s="9" t="s">
        <v>33</v>
      </c>
      <c r="Z10" s="8" t="s">
        <v>43</v>
      </c>
      <c r="AA10" s="9" t="s">
        <v>44</v>
      </c>
      <c r="AB10" s="10">
        <v>9.3993900000000005E-2</v>
      </c>
    </row>
    <row r="11" spans="1:28" s="4" customFormat="1" ht="13" x14ac:dyDescent="0.3">
      <c r="A11" s="5">
        <v>1207</v>
      </c>
      <c r="B11" s="6" t="s">
        <v>75</v>
      </c>
      <c r="C11" s="7">
        <v>43647</v>
      </c>
      <c r="D11" s="8">
        <v>35</v>
      </c>
      <c r="E11" s="9" t="s">
        <v>37</v>
      </c>
      <c r="F11" s="8" t="s">
        <v>76</v>
      </c>
      <c r="G11" s="11" t="s">
        <v>77</v>
      </c>
      <c r="H11" s="8" t="str">
        <f>"000127"</f>
        <v>000127</v>
      </c>
      <c r="I11" s="7">
        <v>43109</v>
      </c>
      <c r="J11" s="8" t="str">
        <f>"000030"</f>
        <v>000030</v>
      </c>
      <c r="K11" s="7">
        <v>43117</v>
      </c>
      <c r="L11" s="8" t="str">
        <f>"000063"</f>
        <v>000063</v>
      </c>
      <c r="M11" s="7">
        <v>43122</v>
      </c>
      <c r="N11" s="8">
        <v>17</v>
      </c>
      <c r="O11" s="8" t="str">
        <f>"003123"</f>
        <v>003123</v>
      </c>
      <c r="P11" s="7">
        <v>43643</v>
      </c>
      <c r="Q11" s="12">
        <v>9.5052299999999992</v>
      </c>
      <c r="R11" s="12">
        <v>0.34466000000000002</v>
      </c>
      <c r="S11" s="12">
        <v>9.1605699999999999</v>
      </c>
      <c r="T11" s="8">
        <v>96</v>
      </c>
      <c r="U11" s="7">
        <v>43647</v>
      </c>
      <c r="V11" s="8">
        <v>8022975610</v>
      </c>
      <c r="W11" s="11" t="s">
        <v>72</v>
      </c>
      <c r="X11" s="8" t="s">
        <v>35</v>
      </c>
      <c r="Y11" s="11" t="s">
        <v>36</v>
      </c>
      <c r="Z11" s="8" t="s">
        <v>43</v>
      </c>
      <c r="AA11" s="11" t="s">
        <v>44</v>
      </c>
      <c r="AB11" s="12">
        <f t="shared" ref="AB11:AB23" si="1">Q11/100</f>
        <v>9.5052299999999992E-2</v>
      </c>
    </row>
    <row r="12" spans="1:28" s="4" customFormat="1" ht="13" x14ac:dyDescent="0.3">
      <c r="A12" s="5">
        <v>1208</v>
      </c>
      <c r="B12" s="6" t="s">
        <v>75</v>
      </c>
      <c r="C12" s="7">
        <v>43648</v>
      </c>
      <c r="D12" s="8">
        <v>35</v>
      </c>
      <c r="E12" s="9" t="s">
        <v>37</v>
      </c>
      <c r="F12" s="8" t="s">
        <v>78</v>
      </c>
      <c r="G12" s="11" t="s">
        <v>79</v>
      </c>
      <c r="H12" s="8" t="str">
        <f>"000092"</f>
        <v>000092</v>
      </c>
      <c r="I12" s="7">
        <v>43250</v>
      </c>
      <c r="J12" s="8" t="str">
        <f>"000073"</f>
        <v>000073</v>
      </c>
      <c r="K12" s="7">
        <v>43251</v>
      </c>
      <c r="L12" s="8" t="str">
        <f>"000069"</f>
        <v>000069</v>
      </c>
      <c r="M12" s="7">
        <v>43256</v>
      </c>
      <c r="N12" s="8">
        <v>18</v>
      </c>
      <c r="O12" s="8" t="str">
        <f>"002902"</f>
        <v>002902</v>
      </c>
      <c r="P12" s="7">
        <v>43637</v>
      </c>
      <c r="Q12" s="12">
        <v>9.3655000000000008</v>
      </c>
      <c r="R12" s="12">
        <v>0.41210000000000002</v>
      </c>
      <c r="S12" s="12">
        <v>8.9534000000000002</v>
      </c>
      <c r="T12" s="8">
        <v>103</v>
      </c>
      <c r="U12" s="7">
        <v>43648</v>
      </c>
      <c r="V12" s="8">
        <v>8022975610</v>
      </c>
      <c r="W12" s="11" t="s">
        <v>80</v>
      </c>
      <c r="X12" s="8" t="s">
        <v>73</v>
      </c>
      <c r="Y12" s="11" t="s">
        <v>74</v>
      </c>
      <c r="Z12" s="8" t="s">
        <v>43</v>
      </c>
      <c r="AA12" s="11" t="s">
        <v>44</v>
      </c>
      <c r="AB12" s="12">
        <f t="shared" si="1"/>
        <v>9.3655000000000002E-2</v>
      </c>
    </row>
    <row r="13" spans="1:28" s="4" customFormat="1" ht="13" x14ac:dyDescent="0.3">
      <c r="A13" s="5">
        <v>1209</v>
      </c>
      <c r="B13" s="6" t="s">
        <v>75</v>
      </c>
      <c r="C13" s="7">
        <v>43663</v>
      </c>
      <c r="D13" s="8">
        <v>35</v>
      </c>
      <c r="E13" s="9" t="s">
        <v>37</v>
      </c>
      <c r="F13" s="8" t="s">
        <v>81</v>
      </c>
      <c r="G13" s="11" t="s">
        <v>82</v>
      </c>
      <c r="H13" s="8" t="str">
        <f>"000262"</f>
        <v>000262</v>
      </c>
      <c r="I13" s="7">
        <v>43183</v>
      </c>
      <c r="J13" s="8" t="str">
        <f>"000061"</f>
        <v>000061</v>
      </c>
      <c r="K13" s="7">
        <v>43185</v>
      </c>
      <c r="L13" s="8" t="str">
        <f>"000136"</f>
        <v>000136</v>
      </c>
      <c r="M13" s="7">
        <v>43186</v>
      </c>
      <c r="N13" s="8">
        <v>18</v>
      </c>
      <c r="O13" s="8" t="str">
        <f>"003438"</f>
        <v>003438</v>
      </c>
      <c r="P13" s="7">
        <v>43662</v>
      </c>
      <c r="Q13" s="12">
        <v>49.970840000000003</v>
      </c>
      <c r="R13" s="12">
        <v>5.9808399999999997</v>
      </c>
      <c r="S13" s="12">
        <v>43.99</v>
      </c>
      <c r="T13" s="8">
        <v>113</v>
      </c>
      <c r="U13" s="7">
        <v>43663</v>
      </c>
      <c r="V13" s="8">
        <v>8022975610</v>
      </c>
      <c r="W13" s="11" t="s">
        <v>66</v>
      </c>
      <c r="X13" s="8" t="s">
        <v>73</v>
      </c>
      <c r="Y13" s="11" t="s">
        <v>74</v>
      </c>
      <c r="Z13" s="8" t="s">
        <v>43</v>
      </c>
      <c r="AA13" s="11" t="s">
        <v>44</v>
      </c>
      <c r="AB13" s="12">
        <f t="shared" si="1"/>
        <v>0.49970840000000005</v>
      </c>
    </row>
    <row r="14" spans="1:28" s="4" customFormat="1" ht="13" x14ac:dyDescent="0.3">
      <c r="A14" s="5">
        <v>1210</v>
      </c>
      <c r="B14" s="6" t="s">
        <v>75</v>
      </c>
      <c r="C14" s="7">
        <v>43663</v>
      </c>
      <c r="D14" s="8">
        <v>35</v>
      </c>
      <c r="E14" s="9" t="s">
        <v>37</v>
      </c>
      <c r="F14" s="8" t="s">
        <v>83</v>
      </c>
      <c r="G14" s="11" t="s">
        <v>84</v>
      </c>
      <c r="H14" s="8" t="str">
        <f>"000253"</f>
        <v>000253</v>
      </c>
      <c r="I14" s="7">
        <v>43170</v>
      </c>
      <c r="J14" s="8" t="str">
        <f>"000058"</f>
        <v>000058</v>
      </c>
      <c r="K14" s="7">
        <v>43183</v>
      </c>
      <c r="L14" s="8" t="str">
        <f>"000141"</f>
        <v>000141</v>
      </c>
      <c r="M14" s="7">
        <v>43187</v>
      </c>
      <c r="N14" s="8">
        <v>18</v>
      </c>
      <c r="O14" s="8" t="str">
        <f>"003445"</f>
        <v>003445</v>
      </c>
      <c r="P14" s="7">
        <v>43662</v>
      </c>
      <c r="Q14" s="12">
        <v>15.20919</v>
      </c>
      <c r="R14" s="12">
        <v>0.80918999999999996</v>
      </c>
      <c r="S14" s="12">
        <v>14.4</v>
      </c>
      <c r="T14" s="8">
        <v>113</v>
      </c>
      <c r="U14" s="7">
        <v>43663</v>
      </c>
      <c r="V14" s="8">
        <v>8022975610</v>
      </c>
      <c r="W14" s="11" t="s">
        <v>72</v>
      </c>
      <c r="X14" s="8" t="s">
        <v>73</v>
      </c>
      <c r="Y14" s="11" t="s">
        <v>74</v>
      </c>
      <c r="Z14" s="8" t="s">
        <v>43</v>
      </c>
      <c r="AA14" s="11" t="s">
        <v>44</v>
      </c>
      <c r="AB14" s="12">
        <f t="shared" si="1"/>
        <v>0.1520919</v>
      </c>
    </row>
    <row r="15" spans="1:28" s="4" customFormat="1" ht="13" x14ac:dyDescent="0.3">
      <c r="A15" s="5">
        <v>1211</v>
      </c>
      <c r="B15" s="6" t="s">
        <v>75</v>
      </c>
      <c r="C15" s="7">
        <v>43663</v>
      </c>
      <c r="D15" s="8">
        <v>35</v>
      </c>
      <c r="E15" s="9" t="s">
        <v>37</v>
      </c>
      <c r="F15" s="8" t="s">
        <v>85</v>
      </c>
      <c r="G15" s="11" t="s">
        <v>86</v>
      </c>
      <c r="H15" s="8" t="str">
        <f>"000131"</f>
        <v>000131</v>
      </c>
      <c r="I15" s="7">
        <v>43110</v>
      </c>
      <c r="J15" s="8" t="str">
        <f>"000057"</f>
        <v>000057</v>
      </c>
      <c r="K15" s="7">
        <v>43180</v>
      </c>
      <c r="L15" s="8" t="str">
        <f>"000142"</f>
        <v>000142</v>
      </c>
      <c r="M15" s="7">
        <v>43187</v>
      </c>
      <c r="N15" s="8">
        <v>17</v>
      </c>
      <c r="O15" s="8" t="str">
        <f>"003446"</f>
        <v>003446</v>
      </c>
      <c r="P15" s="7">
        <v>43662</v>
      </c>
      <c r="Q15" s="12">
        <v>49.976260000000003</v>
      </c>
      <c r="R15" s="12">
        <v>5.9471699999999998</v>
      </c>
      <c r="S15" s="12">
        <v>44.029089999999997</v>
      </c>
      <c r="T15" s="8">
        <v>113</v>
      </c>
      <c r="U15" s="7">
        <v>43663</v>
      </c>
      <c r="V15" s="8">
        <v>8022975610</v>
      </c>
      <c r="W15" s="11" t="s">
        <v>66</v>
      </c>
      <c r="X15" s="8" t="s">
        <v>41</v>
      </c>
      <c r="Y15" s="11" t="s">
        <v>42</v>
      </c>
      <c r="Z15" s="8" t="s">
        <v>43</v>
      </c>
      <c r="AA15" s="11" t="s">
        <v>44</v>
      </c>
      <c r="AB15" s="12">
        <f t="shared" si="1"/>
        <v>0.49976260000000006</v>
      </c>
    </row>
    <row r="16" spans="1:28" s="4" customFormat="1" ht="13" x14ac:dyDescent="0.3">
      <c r="A16" s="5">
        <v>1212</v>
      </c>
      <c r="B16" s="6" t="s">
        <v>75</v>
      </c>
      <c r="C16" s="7">
        <v>43665</v>
      </c>
      <c r="D16" s="8">
        <v>35</v>
      </c>
      <c r="E16" s="9" t="s">
        <v>37</v>
      </c>
      <c r="F16" s="8" t="s">
        <v>87</v>
      </c>
      <c r="G16" s="11" t="s">
        <v>88</v>
      </c>
      <c r="H16" s="8" t="str">
        <f>"000070"</f>
        <v>000070</v>
      </c>
      <c r="I16" s="7">
        <v>43043</v>
      </c>
      <c r="J16" s="8" t="str">
        <f>"000054"</f>
        <v>000054</v>
      </c>
      <c r="K16" s="7">
        <v>43161</v>
      </c>
      <c r="L16" s="8" t="str">
        <f>"000128"</f>
        <v>000128</v>
      </c>
      <c r="M16" s="7">
        <v>43173</v>
      </c>
      <c r="N16" s="8">
        <v>17</v>
      </c>
      <c r="O16" s="8" t="str">
        <f>"003811"</f>
        <v>003811</v>
      </c>
      <c r="P16" s="7">
        <v>43665</v>
      </c>
      <c r="Q16" s="12">
        <v>11.60712</v>
      </c>
      <c r="R16" s="12">
        <v>0.59196000000000004</v>
      </c>
      <c r="S16" s="12">
        <v>11.01516</v>
      </c>
      <c r="T16" s="8">
        <v>118</v>
      </c>
      <c r="U16" s="7">
        <v>43665</v>
      </c>
      <c r="V16" s="8">
        <v>8022975610</v>
      </c>
      <c r="W16" s="11" t="s">
        <v>89</v>
      </c>
      <c r="X16" s="8" t="s">
        <v>32</v>
      </c>
      <c r="Y16" s="11" t="s">
        <v>33</v>
      </c>
      <c r="Z16" s="8" t="s">
        <v>43</v>
      </c>
      <c r="AA16" s="11" t="s">
        <v>44</v>
      </c>
      <c r="AB16" s="12">
        <f t="shared" si="1"/>
        <v>0.1160712</v>
      </c>
    </row>
    <row r="17" spans="1:28" s="4" customFormat="1" ht="13" x14ac:dyDescent="0.3">
      <c r="A17" s="5">
        <v>1213</v>
      </c>
      <c r="B17" s="6" t="s">
        <v>75</v>
      </c>
      <c r="C17" s="7">
        <v>43668</v>
      </c>
      <c r="D17" s="8">
        <v>35</v>
      </c>
      <c r="E17" s="9" t="s">
        <v>37</v>
      </c>
      <c r="F17" s="8" t="s">
        <v>90</v>
      </c>
      <c r="G17" s="11" t="s">
        <v>91</v>
      </c>
      <c r="H17" s="8" t="str">
        <f>"000073"</f>
        <v>000073</v>
      </c>
      <c r="I17" s="7">
        <v>43535</v>
      </c>
      <c r="J17" s="8" t="str">
        <f>"000117"</f>
        <v>000117</v>
      </c>
      <c r="K17" s="7">
        <v>43766</v>
      </c>
      <c r="L17" s="8" t="str">
        <f>"000117"</f>
        <v>000117</v>
      </c>
      <c r="M17" s="7">
        <v>43766</v>
      </c>
      <c r="N17" s="8">
        <v>17</v>
      </c>
      <c r="O17" s="8" t="str">
        <f>""</f>
        <v/>
      </c>
      <c r="P17" s="8"/>
      <c r="Q17" s="12">
        <v>4.3826700000000001</v>
      </c>
      <c r="R17" s="12">
        <v>0.39883999999999997</v>
      </c>
      <c r="S17" s="12">
        <v>3.9838300000000002</v>
      </c>
      <c r="T17" s="8">
        <v>120</v>
      </c>
      <c r="U17" s="7">
        <v>43668</v>
      </c>
      <c r="V17" s="8">
        <v>9945614169</v>
      </c>
      <c r="W17" s="11" t="s">
        <v>92</v>
      </c>
      <c r="X17" s="8" t="s">
        <v>93</v>
      </c>
      <c r="Y17" s="11" t="s">
        <v>94</v>
      </c>
      <c r="Z17" s="8" t="s">
        <v>95</v>
      </c>
      <c r="AA17" s="11" t="s">
        <v>96</v>
      </c>
      <c r="AB17" s="12">
        <f t="shared" si="1"/>
        <v>4.3826700000000003E-2</v>
      </c>
    </row>
    <row r="18" spans="1:28" s="4" customFormat="1" ht="13" x14ac:dyDescent="0.3">
      <c r="A18" s="5">
        <v>1214</v>
      </c>
      <c r="B18" s="6" t="s">
        <v>97</v>
      </c>
      <c r="C18" s="7">
        <v>43685</v>
      </c>
      <c r="D18" s="8">
        <v>35</v>
      </c>
      <c r="E18" s="9" t="s">
        <v>37</v>
      </c>
      <c r="F18" s="8" t="s">
        <v>98</v>
      </c>
      <c r="G18" s="11" t="s">
        <v>99</v>
      </c>
      <c r="H18" s="8" t="str">
        <f>"000133"</f>
        <v>000133</v>
      </c>
      <c r="I18" s="7">
        <v>43119</v>
      </c>
      <c r="J18" s="8" t="str">
        <f>"000098"</f>
        <v>000098</v>
      </c>
      <c r="K18" s="7">
        <v>43309</v>
      </c>
      <c r="L18" s="8" t="str">
        <f>"000123"</f>
        <v>000123</v>
      </c>
      <c r="M18" s="7">
        <v>43312</v>
      </c>
      <c r="N18" s="8">
        <v>17</v>
      </c>
      <c r="O18" s="8" t="str">
        <f>"004290"</f>
        <v>004290</v>
      </c>
      <c r="P18" s="7">
        <v>43680</v>
      </c>
      <c r="Q18" s="12">
        <v>10.049329999999999</v>
      </c>
      <c r="R18" s="12">
        <v>0.49933</v>
      </c>
      <c r="S18" s="12">
        <v>9.5500000000000007</v>
      </c>
      <c r="T18" s="8">
        <v>145</v>
      </c>
      <c r="U18" s="7">
        <v>43685</v>
      </c>
      <c r="V18" s="8">
        <v>8022975610</v>
      </c>
      <c r="W18" s="11" t="s">
        <v>100</v>
      </c>
      <c r="X18" s="8" t="s">
        <v>32</v>
      </c>
      <c r="Y18" s="11" t="s">
        <v>33</v>
      </c>
      <c r="Z18" s="8" t="s">
        <v>43</v>
      </c>
      <c r="AA18" s="11" t="s">
        <v>44</v>
      </c>
      <c r="AB18" s="12">
        <f t="shared" si="1"/>
        <v>0.10049329999999999</v>
      </c>
    </row>
    <row r="19" spans="1:28" s="4" customFormat="1" ht="13" x14ac:dyDescent="0.3">
      <c r="A19" s="5">
        <v>1215</v>
      </c>
      <c r="B19" s="6" t="s">
        <v>97</v>
      </c>
      <c r="C19" s="7">
        <v>43704</v>
      </c>
      <c r="D19" s="8">
        <v>35</v>
      </c>
      <c r="E19" s="9" t="s">
        <v>37</v>
      </c>
      <c r="F19" s="8" t="s">
        <v>101</v>
      </c>
      <c r="G19" s="11" t="s">
        <v>102</v>
      </c>
      <c r="H19" s="8" t="str">
        <f>"000252"</f>
        <v>000252</v>
      </c>
      <c r="I19" s="7">
        <v>43170</v>
      </c>
      <c r="J19" s="8" t="str">
        <f>"000056"</f>
        <v>000056</v>
      </c>
      <c r="K19" s="7">
        <v>43180</v>
      </c>
      <c r="L19" s="8" t="str">
        <f>"000140"</f>
        <v>000140</v>
      </c>
      <c r="M19" s="7">
        <v>43187</v>
      </c>
      <c r="N19" s="8">
        <v>18</v>
      </c>
      <c r="O19" s="8" t="str">
        <f>"004528"</f>
        <v>004528</v>
      </c>
      <c r="P19" s="7">
        <v>43693</v>
      </c>
      <c r="Q19" s="12">
        <v>13.553570000000001</v>
      </c>
      <c r="R19" s="12">
        <v>0.89356999999999998</v>
      </c>
      <c r="S19" s="12">
        <v>12.66</v>
      </c>
      <c r="T19" s="8">
        <v>166</v>
      </c>
      <c r="U19" s="7">
        <v>43704</v>
      </c>
      <c r="V19" s="8">
        <v>8022975610</v>
      </c>
      <c r="W19" s="11" t="s">
        <v>72</v>
      </c>
      <c r="X19" s="8" t="s">
        <v>73</v>
      </c>
      <c r="Y19" s="11" t="s">
        <v>74</v>
      </c>
      <c r="Z19" s="8" t="s">
        <v>43</v>
      </c>
      <c r="AA19" s="11" t="s">
        <v>44</v>
      </c>
      <c r="AB19" s="12">
        <f t="shared" si="1"/>
        <v>0.13553570000000001</v>
      </c>
    </row>
    <row r="20" spans="1:28" s="4" customFormat="1" ht="13" x14ac:dyDescent="0.3">
      <c r="A20" s="5">
        <v>1216</v>
      </c>
      <c r="B20" s="6" t="s">
        <v>103</v>
      </c>
      <c r="C20" s="7">
        <v>43719</v>
      </c>
      <c r="D20" s="8">
        <v>35</v>
      </c>
      <c r="E20" s="9" t="s">
        <v>37</v>
      </c>
      <c r="F20" s="8" t="s">
        <v>104</v>
      </c>
      <c r="G20" s="11" t="s">
        <v>105</v>
      </c>
      <c r="H20" s="8" t="str">
        <f>"000356"</f>
        <v>000356</v>
      </c>
      <c r="I20" s="7">
        <v>43526</v>
      </c>
      <c r="J20" s="8" t="str">
        <f>"000017"</f>
        <v>000017</v>
      </c>
      <c r="K20" s="7">
        <v>43662</v>
      </c>
      <c r="L20" s="8" t="str">
        <f>"000030"</f>
        <v>000030</v>
      </c>
      <c r="M20" s="7">
        <v>43663</v>
      </c>
      <c r="N20" s="8">
        <v>19</v>
      </c>
      <c r="O20" s="8" t="str">
        <f>"004566"</f>
        <v>004566</v>
      </c>
      <c r="P20" s="7">
        <v>43694</v>
      </c>
      <c r="Q20" s="12">
        <v>41.176000000000002</v>
      </c>
      <c r="R20" s="12">
        <v>5.1859999999999999</v>
      </c>
      <c r="S20" s="12">
        <v>35.99</v>
      </c>
      <c r="T20" s="8">
        <v>181</v>
      </c>
      <c r="U20" s="7">
        <v>43719</v>
      </c>
      <c r="V20" s="8">
        <v>8022975610</v>
      </c>
      <c r="W20" s="11" t="s">
        <v>106</v>
      </c>
      <c r="X20" s="8" t="s">
        <v>107</v>
      </c>
      <c r="Y20" s="11" t="s">
        <v>108</v>
      </c>
      <c r="Z20" s="8" t="s">
        <v>43</v>
      </c>
      <c r="AA20" s="11" t="s">
        <v>44</v>
      </c>
      <c r="AB20" s="12">
        <f t="shared" si="1"/>
        <v>0.41176000000000001</v>
      </c>
    </row>
    <row r="21" spans="1:28" s="4" customFormat="1" ht="13" x14ac:dyDescent="0.3">
      <c r="A21" s="5">
        <v>1217</v>
      </c>
      <c r="B21" s="6" t="s">
        <v>103</v>
      </c>
      <c r="C21" s="7">
        <v>43729</v>
      </c>
      <c r="D21" s="8">
        <v>35</v>
      </c>
      <c r="E21" s="9" t="s">
        <v>37</v>
      </c>
      <c r="F21" s="8" t="s">
        <v>109</v>
      </c>
      <c r="G21" s="11" t="s">
        <v>110</v>
      </c>
      <c r="H21" s="8" t="str">
        <f>"000041"</f>
        <v>000041</v>
      </c>
      <c r="I21" s="7">
        <v>42944</v>
      </c>
      <c r="J21" s="8" t="str">
        <f>"000007"</f>
        <v>000007</v>
      </c>
      <c r="K21" s="7">
        <v>43197</v>
      </c>
      <c r="L21" s="8" t="str">
        <f>"000011"</f>
        <v>000011</v>
      </c>
      <c r="M21" s="7">
        <v>43197</v>
      </c>
      <c r="N21" s="8">
        <v>17</v>
      </c>
      <c r="O21" s="8" t="str">
        <f>"005024"</f>
        <v>005024</v>
      </c>
      <c r="P21" s="7">
        <v>43719</v>
      </c>
      <c r="Q21" s="12">
        <v>6.2888000000000002</v>
      </c>
      <c r="R21" s="12">
        <v>0.72440000000000004</v>
      </c>
      <c r="S21" s="12">
        <v>5.5644</v>
      </c>
      <c r="T21" s="8">
        <v>194</v>
      </c>
      <c r="U21" s="7">
        <v>43729</v>
      </c>
      <c r="V21" s="8">
        <v>9845351993</v>
      </c>
      <c r="W21" s="11" t="s">
        <v>111</v>
      </c>
      <c r="X21" s="8" t="s">
        <v>32</v>
      </c>
      <c r="Y21" s="11" t="s">
        <v>33</v>
      </c>
      <c r="Z21" s="8" t="s">
        <v>59</v>
      </c>
      <c r="AA21" s="11" t="s">
        <v>60</v>
      </c>
      <c r="AB21" s="12">
        <f t="shared" si="1"/>
        <v>6.2887999999999999E-2</v>
      </c>
    </row>
    <row r="22" spans="1:28" s="4" customFormat="1" ht="13" x14ac:dyDescent="0.3">
      <c r="A22" s="5">
        <v>1218</v>
      </c>
      <c r="B22" s="6" t="s">
        <v>103</v>
      </c>
      <c r="C22" s="7">
        <v>43731</v>
      </c>
      <c r="D22" s="8">
        <v>35</v>
      </c>
      <c r="E22" s="9" t="s">
        <v>37</v>
      </c>
      <c r="F22" s="8" t="s">
        <v>112</v>
      </c>
      <c r="G22" s="11" t="s">
        <v>113</v>
      </c>
      <c r="H22" s="8" t="str">
        <f>"000023"</f>
        <v>000023</v>
      </c>
      <c r="I22" s="7">
        <v>43228</v>
      </c>
      <c r="J22" s="8" t="str">
        <f>"000039"</f>
        <v>000039</v>
      </c>
      <c r="K22" s="7">
        <v>43246</v>
      </c>
      <c r="L22" s="8" t="str">
        <f>"000023"</f>
        <v>000023</v>
      </c>
      <c r="M22" s="7">
        <v>43250</v>
      </c>
      <c r="N22" s="8">
        <v>18</v>
      </c>
      <c r="O22" s="8" t="str">
        <f>"005211"</f>
        <v>005211</v>
      </c>
      <c r="P22" s="7">
        <v>43727</v>
      </c>
      <c r="Q22" s="12">
        <v>11.448600000000001</v>
      </c>
      <c r="R22" s="12">
        <v>1.0886</v>
      </c>
      <c r="S22" s="12">
        <v>10.36</v>
      </c>
      <c r="T22" s="8">
        <v>197</v>
      </c>
      <c r="U22" s="7">
        <v>43731</v>
      </c>
      <c r="V22" s="8">
        <v>8022975610</v>
      </c>
      <c r="W22" s="11" t="s">
        <v>72</v>
      </c>
      <c r="X22" s="8" t="s">
        <v>32</v>
      </c>
      <c r="Y22" s="11" t="s">
        <v>33</v>
      </c>
      <c r="Z22" s="8" t="s">
        <v>43</v>
      </c>
      <c r="AA22" s="11" t="s">
        <v>44</v>
      </c>
      <c r="AB22" s="12">
        <f t="shared" si="1"/>
        <v>0.114486</v>
      </c>
    </row>
    <row r="23" spans="1:28" s="4" customFormat="1" ht="13" x14ac:dyDescent="0.3">
      <c r="A23" s="5">
        <v>1219</v>
      </c>
      <c r="B23" s="6" t="s">
        <v>103</v>
      </c>
      <c r="C23" s="7">
        <v>43734</v>
      </c>
      <c r="D23" s="8">
        <v>35</v>
      </c>
      <c r="E23" s="9" t="s">
        <v>37</v>
      </c>
      <c r="F23" s="8" t="s">
        <v>38</v>
      </c>
      <c r="G23" s="11" t="s">
        <v>39</v>
      </c>
      <c r="H23" s="8" t="str">
        <f>"000241"</f>
        <v>000241</v>
      </c>
      <c r="I23" s="7">
        <v>43161</v>
      </c>
      <c r="J23" s="8" t="str">
        <f>"000102"</f>
        <v>000102</v>
      </c>
      <c r="K23" s="7">
        <v>43312</v>
      </c>
      <c r="L23" s="8" t="str">
        <f>"000141"</f>
        <v>000141</v>
      </c>
      <c r="M23" s="7">
        <v>43332</v>
      </c>
      <c r="N23" s="8">
        <v>17</v>
      </c>
      <c r="O23" s="8" t="str">
        <f>"005384"</f>
        <v>005384</v>
      </c>
      <c r="P23" s="7">
        <v>43731</v>
      </c>
      <c r="Q23" s="12">
        <v>23.5474</v>
      </c>
      <c r="R23" s="12">
        <v>1.0474000000000001</v>
      </c>
      <c r="S23" s="12">
        <v>22.5</v>
      </c>
      <c r="T23" s="8">
        <v>203</v>
      </c>
      <c r="U23" s="7">
        <v>43734</v>
      </c>
      <c r="V23" s="8">
        <v>9448059984</v>
      </c>
      <c r="W23" s="11" t="s">
        <v>40</v>
      </c>
      <c r="X23" s="8" t="s">
        <v>41</v>
      </c>
      <c r="Y23" s="11" t="s">
        <v>42</v>
      </c>
      <c r="Z23" s="8" t="s">
        <v>43</v>
      </c>
      <c r="AA23" s="11" t="s">
        <v>44</v>
      </c>
      <c r="AB23" s="12">
        <f t="shared" si="1"/>
        <v>0.23547399999999999</v>
      </c>
    </row>
    <row r="24" spans="1:28" s="4" customFormat="1" ht="13" x14ac:dyDescent="0.3">
      <c r="A24" s="5">
        <v>1220</v>
      </c>
      <c r="B24" s="6" t="s">
        <v>114</v>
      </c>
      <c r="C24" s="7">
        <v>43752</v>
      </c>
      <c r="D24" s="5">
        <v>35</v>
      </c>
      <c r="E24" s="9" t="s">
        <v>37</v>
      </c>
      <c r="F24" s="8" t="s">
        <v>115</v>
      </c>
      <c r="G24" s="9" t="s">
        <v>116</v>
      </c>
      <c r="H24" s="8" t="str">
        <f>"000019"</f>
        <v>000019</v>
      </c>
      <c r="I24" s="7">
        <v>43214</v>
      </c>
      <c r="J24" s="8" t="str">
        <f>"000004"</f>
        <v>000004</v>
      </c>
      <c r="K24" s="7">
        <v>43215</v>
      </c>
      <c r="L24" s="8" t="str">
        <f>"000004"</f>
        <v>000004</v>
      </c>
      <c r="M24" s="7">
        <v>43218</v>
      </c>
      <c r="N24" s="8">
        <v>18</v>
      </c>
      <c r="O24" s="8" t="str">
        <f>"005542"</f>
        <v>005542</v>
      </c>
      <c r="P24" s="7">
        <v>43739</v>
      </c>
      <c r="Q24" s="10">
        <v>4.1171899999999999</v>
      </c>
      <c r="R24" s="10">
        <v>0.49303999999999998</v>
      </c>
      <c r="S24" s="10">
        <v>3.6241500000000002</v>
      </c>
      <c r="T24" s="8">
        <v>13</v>
      </c>
      <c r="U24" s="7">
        <v>43752</v>
      </c>
      <c r="V24" s="8">
        <v>9448107543</v>
      </c>
      <c r="W24" s="9" t="s">
        <v>72</v>
      </c>
      <c r="X24" s="8" t="s">
        <v>32</v>
      </c>
      <c r="Y24" s="9" t="s">
        <v>33</v>
      </c>
      <c r="Z24" s="8" t="s">
        <v>43</v>
      </c>
      <c r="AA24" s="9" t="s">
        <v>44</v>
      </c>
      <c r="AB24" s="10">
        <v>4.1171899999999997E-2</v>
      </c>
    </row>
    <row r="25" spans="1:28" s="4" customFormat="1" ht="13" x14ac:dyDescent="0.3">
      <c r="A25" s="5">
        <v>1221</v>
      </c>
      <c r="B25" s="6" t="s">
        <v>114</v>
      </c>
      <c r="C25" s="7">
        <v>43752</v>
      </c>
      <c r="D25" s="5">
        <v>35</v>
      </c>
      <c r="E25" s="9" t="s">
        <v>37</v>
      </c>
      <c r="F25" s="8" t="s">
        <v>117</v>
      </c>
      <c r="G25" s="9" t="s">
        <v>118</v>
      </c>
      <c r="H25" s="8" t="str">
        <f>"000012"</f>
        <v>000012</v>
      </c>
      <c r="I25" s="7">
        <v>43201</v>
      </c>
      <c r="J25" s="8" t="str">
        <f>"000003"</f>
        <v>000003</v>
      </c>
      <c r="K25" s="7">
        <v>43214</v>
      </c>
      <c r="L25" s="8" t="str">
        <f>"000005"</f>
        <v>000005</v>
      </c>
      <c r="M25" s="7">
        <v>43218</v>
      </c>
      <c r="N25" s="8">
        <v>18</v>
      </c>
      <c r="O25" s="8" t="str">
        <f>"005543"</f>
        <v>005543</v>
      </c>
      <c r="P25" s="7">
        <v>43739</v>
      </c>
      <c r="Q25" s="10">
        <v>26.615030000000001</v>
      </c>
      <c r="R25" s="10">
        <v>1.38503</v>
      </c>
      <c r="S25" s="10">
        <v>25.23</v>
      </c>
      <c r="T25" s="8">
        <v>13</v>
      </c>
      <c r="U25" s="7">
        <v>43752</v>
      </c>
      <c r="V25" s="8">
        <v>8022975610</v>
      </c>
      <c r="W25" s="9" t="s">
        <v>119</v>
      </c>
      <c r="X25" s="8" t="s">
        <v>73</v>
      </c>
      <c r="Y25" s="9" t="s">
        <v>74</v>
      </c>
      <c r="Z25" s="8" t="s">
        <v>43</v>
      </c>
      <c r="AA25" s="9" t="s">
        <v>44</v>
      </c>
      <c r="AB25" s="10">
        <v>0.26615030000000001</v>
      </c>
    </row>
    <row r="26" spans="1:28" s="4" customFormat="1" ht="13" x14ac:dyDescent="0.3">
      <c r="A26" s="5">
        <v>1222</v>
      </c>
      <c r="B26" s="6" t="s">
        <v>114</v>
      </c>
      <c r="C26" s="7">
        <v>43752</v>
      </c>
      <c r="D26" s="5">
        <v>35</v>
      </c>
      <c r="E26" s="9" t="s">
        <v>37</v>
      </c>
      <c r="F26" s="8" t="s">
        <v>120</v>
      </c>
      <c r="G26" s="9" t="s">
        <v>121</v>
      </c>
      <c r="H26" s="8" t="str">
        <f>"000018"</f>
        <v>000018</v>
      </c>
      <c r="I26" s="7">
        <v>43214</v>
      </c>
      <c r="J26" s="8" t="str">
        <f>"000006"</f>
        <v>000006</v>
      </c>
      <c r="K26" s="7">
        <v>43215</v>
      </c>
      <c r="L26" s="8" t="str">
        <f>"000006"</f>
        <v>000006</v>
      </c>
      <c r="M26" s="7">
        <v>43218</v>
      </c>
      <c r="N26" s="8">
        <v>18</v>
      </c>
      <c r="O26" s="8" t="str">
        <f>"005544"</f>
        <v>005544</v>
      </c>
      <c r="P26" s="7">
        <v>43739</v>
      </c>
      <c r="Q26" s="10">
        <v>4.1075999999999997</v>
      </c>
      <c r="R26" s="10">
        <v>0.49297999999999997</v>
      </c>
      <c r="S26" s="10">
        <v>3.6146199999999999</v>
      </c>
      <c r="T26" s="8">
        <v>13</v>
      </c>
      <c r="U26" s="7">
        <v>43752</v>
      </c>
      <c r="V26" s="8">
        <v>9110404411</v>
      </c>
      <c r="W26" s="9" t="s">
        <v>72</v>
      </c>
      <c r="X26" s="8" t="s">
        <v>32</v>
      </c>
      <c r="Y26" s="9" t="s">
        <v>33</v>
      </c>
      <c r="Z26" s="8" t="s">
        <v>43</v>
      </c>
      <c r="AA26" s="9" t="s">
        <v>44</v>
      </c>
      <c r="AB26" s="10">
        <v>4.1075999999999994E-2</v>
      </c>
    </row>
    <row r="27" spans="1:28" s="4" customFormat="1" ht="13" x14ac:dyDescent="0.3">
      <c r="A27" s="5">
        <v>1223</v>
      </c>
      <c r="B27" s="6" t="s">
        <v>114</v>
      </c>
      <c r="C27" s="7">
        <v>43762</v>
      </c>
      <c r="D27" s="5">
        <v>35</v>
      </c>
      <c r="E27" s="9" t="s">
        <v>37</v>
      </c>
      <c r="F27" s="8" t="s">
        <v>122</v>
      </c>
      <c r="G27" s="9" t="s">
        <v>123</v>
      </c>
      <c r="H27" s="8" t="str">
        <f>"000077"</f>
        <v>000077</v>
      </c>
      <c r="I27" s="7">
        <v>43535</v>
      </c>
      <c r="J27" s="8" t="str">
        <f>"000103"</f>
        <v>000103</v>
      </c>
      <c r="K27" s="7">
        <v>43735</v>
      </c>
      <c r="L27" s="8" t="str">
        <f>"000103"</f>
        <v>000103</v>
      </c>
      <c r="M27" s="7">
        <v>43735</v>
      </c>
      <c r="N27" s="8">
        <v>17</v>
      </c>
      <c r="O27" s="8" t="str">
        <f>"005842"</f>
        <v>005842</v>
      </c>
      <c r="P27" s="7">
        <v>43756</v>
      </c>
      <c r="Q27" s="10">
        <v>1.9950000000000001</v>
      </c>
      <c r="R27" s="10">
        <v>2.1999999999999999E-2</v>
      </c>
      <c r="S27" s="10">
        <v>1.9730000000000001</v>
      </c>
      <c r="T27" s="8">
        <v>13</v>
      </c>
      <c r="U27" s="7">
        <v>43762</v>
      </c>
      <c r="V27" s="8">
        <v>9945614169</v>
      </c>
      <c r="W27" s="9" t="s">
        <v>92</v>
      </c>
      <c r="X27" s="8" t="s">
        <v>93</v>
      </c>
      <c r="Y27" s="9" t="s">
        <v>94</v>
      </c>
      <c r="Z27" s="8" t="s">
        <v>95</v>
      </c>
      <c r="AA27" s="9" t="s">
        <v>96</v>
      </c>
      <c r="AB27" s="10">
        <v>1.9950000000000002E-2</v>
      </c>
    </row>
    <row r="28" spans="1:28" s="4" customFormat="1" ht="13" x14ac:dyDescent="0.3">
      <c r="A28" s="5">
        <v>1224</v>
      </c>
      <c r="B28" s="6" t="s">
        <v>114</v>
      </c>
      <c r="C28" s="7">
        <v>43762</v>
      </c>
      <c r="D28" s="5">
        <v>35</v>
      </c>
      <c r="E28" s="9" t="s">
        <v>37</v>
      </c>
      <c r="F28" s="8" t="s">
        <v>124</v>
      </c>
      <c r="G28" s="9" t="s">
        <v>125</v>
      </c>
      <c r="H28" s="8" t="str">
        <f>"000075"</f>
        <v>000075</v>
      </c>
      <c r="I28" s="7">
        <v>43535</v>
      </c>
      <c r="J28" s="8" t="str">
        <f>"000097"</f>
        <v>000097</v>
      </c>
      <c r="K28" s="7">
        <v>43735</v>
      </c>
      <c r="L28" s="8" t="str">
        <f>"000097"</f>
        <v>000097</v>
      </c>
      <c r="M28" s="7">
        <v>43735</v>
      </c>
      <c r="N28" s="8">
        <v>17</v>
      </c>
      <c r="O28" s="8" t="str">
        <f>"005849"</f>
        <v>005849</v>
      </c>
      <c r="P28" s="7">
        <v>43756</v>
      </c>
      <c r="Q28" s="10">
        <v>1.7541</v>
      </c>
      <c r="R28" s="10">
        <v>1.9800000000000002E-2</v>
      </c>
      <c r="S28" s="10">
        <v>1.7343</v>
      </c>
      <c r="T28" s="8">
        <v>13</v>
      </c>
      <c r="U28" s="7">
        <v>43762</v>
      </c>
      <c r="V28" s="8">
        <v>9945614169</v>
      </c>
      <c r="W28" s="9" t="s">
        <v>92</v>
      </c>
      <c r="X28" s="8" t="s">
        <v>93</v>
      </c>
      <c r="Y28" s="9" t="s">
        <v>94</v>
      </c>
      <c r="Z28" s="8" t="s">
        <v>95</v>
      </c>
      <c r="AA28" s="9" t="s">
        <v>96</v>
      </c>
      <c r="AB28" s="10">
        <v>1.7541000000000001E-2</v>
      </c>
    </row>
    <row r="29" spans="1:28" s="4" customFormat="1" ht="13" x14ac:dyDescent="0.3">
      <c r="A29" s="5">
        <v>1225</v>
      </c>
      <c r="B29" s="6" t="s">
        <v>114</v>
      </c>
      <c r="C29" s="7">
        <v>43768</v>
      </c>
      <c r="D29" s="5">
        <v>35</v>
      </c>
      <c r="E29" s="9" t="s">
        <v>37</v>
      </c>
      <c r="F29" s="8" t="s">
        <v>126</v>
      </c>
      <c r="G29" s="9" t="s">
        <v>127</v>
      </c>
      <c r="H29" s="8" t="str">
        <f>"000042"</f>
        <v>000042</v>
      </c>
      <c r="I29" s="7">
        <v>43700</v>
      </c>
      <c r="J29" s="8" t="str">
        <f>"000026"</f>
        <v>000026</v>
      </c>
      <c r="K29" s="7">
        <v>43748</v>
      </c>
      <c r="L29" s="8" t="str">
        <f>"000063"</f>
        <v>000063</v>
      </c>
      <c r="M29" s="7">
        <v>43748</v>
      </c>
      <c r="N29" s="8">
        <v>19</v>
      </c>
      <c r="O29" s="8" t="str">
        <f>"005985"</f>
        <v>005985</v>
      </c>
      <c r="P29" s="7">
        <v>43763</v>
      </c>
      <c r="Q29" s="10">
        <v>0.26518999999999998</v>
      </c>
      <c r="R29" s="10">
        <v>1.167E-2</v>
      </c>
      <c r="S29" s="10">
        <v>0.25352000000000002</v>
      </c>
      <c r="T29" s="8">
        <v>13</v>
      </c>
      <c r="U29" s="7">
        <v>43768</v>
      </c>
      <c r="V29" s="8">
        <v>8022975610</v>
      </c>
      <c r="W29" s="9" t="s">
        <v>128</v>
      </c>
      <c r="X29" s="8" t="s">
        <v>129</v>
      </c>
      <c r="Y29" s="9" t="s">
        <v>130</v>
      </c>
      <c r="Z29" s="8" t="s">
        <v>43</v>
      </c>
      <c r="AA29" s="9" t="s">
        <v>44</v>
      </c>
      <c r="AB29" s="10">
        <v>2.6519E-3</v>
      </c>
    </row>
    <row r="30" spans="1:28" s="4" customFormat="1" ht="13" x14ac:dyDescent="0.3">
      <c r="A30" s="5">
        <v>1226</v>
      </c>
      <c r="B30" s="6" t="s">
        <v>114</v>
      </c>
      <c r="C30" s="7">
        <v>43768</v>
      </c>
      <c r="D30" s="5">
        <v>35</v>
      </c>
      <c r="E30" s="9" t="s">
        <v>37</v>
      </c>
      <c r="F30" s="8" t="s">
        <v>126</v>
      </c>
      <c r="G30" s="9" t="s">
        <v>127</v>
      </c>
      <c r="H30" s="8" t="str">
        <f>"000042"</f>
        <v>000042</v>
      </c>
      <c r="I30" s="7">
        <v>43700</v>
      </c>
      <c r="J30" s="8" t="str">
        <f>"000026"</f>
        <v>000026</v>
      </c>
      <c r="K30" s="7">
        <v>43748</v>
      </c>
      <c r="L30" s="8" t="str">
        <f>"000063"</f>
        <v>000063</v>
      </c>
      <c r="M30" s="7">
        <v>43748</v>
      </c>
      <c r="N30" s="8">
        <v>19</v>
      </c>
      <c r="O30" s="8" t="str">
        <f>"005985"</f>
        <v>005985</v>
      </c>
      <c r="P30" s="7">
        <v>43763</v>
      </c>
      <c r="Q30" s="10">
        <v>1.77922</v>
      </c>
      <c r="R30" s="10">
        <v>7.8280000000000002E-2</v>
      </c>
      <c r="S30" s="10">
        <v>1.7009399999999999</v>
      </c>
      <c r="T30" s="8">
        <v>13</v>
      </c>
      <c r="U30" s="7">
        <v>43768</v>
      </c>
      <c r="V30" s="8">
        <v>8022975610</v>
      </c>
      <c r="W30" s="9" t="s">
        <v>128</v>
      </c>
      <c r="X30" s="8" t="s">
        <v>129</v>
      </c>
      <c r="Y30" s="9" t="s">
        <v>130</v>
      </c>
      <c r="Z30" s="8" t="s">
        <v>43</v>
      </c>
      <c r="AA30" s="9" t="s">
        <v>44</v>
      </c>
      <c r="AB30" s="10">
        <v>1.7792200000000001E-2</v>
      </c>
    </row>
    <row r="31" spans="1:28" s="4" customFormat="1" ht="13" x14ac:dyDescent="0.3">
      <c r="A31" s="5">
        <v>1227</v>
      </c>
      <c r="B31" s="6" t="s">
        <v>114</v>
      </c>
      <c r="C31" s="7">
        <v>43768</v>
      </c>
      <c r="D31" s="5">
        <v>35</v>
      </c>
      <c r="E31" s="9" t="s">
        <v>37</v>
      </c>
      <c r="F31" s="8" t="s">
        <v>131</v>
      </c>
      <c r="G31" s="9" t="s">
        <v>132</v>
      </c>
      <c r="H31" s="8" t="str">
        <f>"000041"</f>
        <v>000041</v>
      </c>
      <c r="I31" s="7">
        <v>43700</v>
      </c>
      <c r="J31" s="8" t="str">
        <f>"000025"</f>
        <v>000025</v>
      </c>
      <c r="K31" s="7">
        <v>43748</v>
      </c>
      <c r="L31" s="8" t="str">
        <f>"000064"</f>
        <v>000064</v>
      </c>
      <c r="M31" s="7">
        <v>43748</v>
      </c>
      <c r="N31" s="8">
        <v>19</v>
      </c>
      <c r="O31" s="8" t="str">
        <f>"005986"</f>
        <v>005986</v>
      </c>
      <c r="P31" s="7">
        <v>43763</v>
      </c>
      <c r="Q31" s="10">
        <v>1.9866200000000001</v>
      </c>
      <c r="R31" s="10">
        <v>0.19669</v>
      </c>
      <c r="S31" s="10">
        <v>1.78993</v>
      </c>
      <c r="T31" s="8">
        <v>13</v>
      </c>
      <c r="U31" s="7">
        <v>43768</v>
      </c>
      <c r="V31" s="8">
        <v>8022975610</v>
      </c>
      <c r="W31" s="9" t="s">
        <v>133</v>
      </c>
      <c r="X31" s="8" t="s">
        <v>134</v>
      </c>
      <c r="Y31" s="9" t="s">
        <v>135</v>
      </c>
      <c r="Z31" s="8" t="s">
        <v>43</v>
      </c>
      <c r="AA31" s="9" t="s">
        <v>44</v>
      </c>
      <c r="AB31" s="10">
        <v>1.9866200000000001E-2</v>
      </c>
    </row>
    <row r="32" spans="1:28" s="4" customFormat="1" ht="13" x14ac:dyDescent="0.3">
      <c r="A32" s="5">
        <v>1228</v>
      </c>
      <c r="B32" s="6" t="s">
        <v>136</v>
      </c>
      <c r="C32" s="7">
        <v>43789</v>
      </c>
      <c r="D32" s="5">
        <v>35</v>
      </c>
      <c r="E32" s="9" t="s">
        <v>37</v>
      </c>
      <c r="F32" s="8" t="s">
        <v>56</v>
      </c>
      <c r="G32" s="9" t="s">
        <v>57</v>
      </c>
      <c r="H32" s="8" t="str">
        <f>"000010"</f>
        <v>000010</v>
      </c>
      <c r="I32" s="7">
        <v>42931</v>
      </c>
      <c r="J32" s="8" t="str">
        <f>"000079"</f>
        <v>000079</v>
      </c>
      <c r="K32" s="7">
        <v>43763</v>
      </c>
      <c r="L32" s="8" t="str">
        <f>"000080"</f>
        <v>000080</v>
      </c>
      <c r="M32" s="7">
        <v>43763</v>
      </c>
      <c r="N32" s="8">
        <v>16</v>
      </c>
      <c r="O32" s="8" t="str">
        <f>"006205"</f>
        <v>006205</v>
      </c>
      <c r="P32" s="7">
        <v>43782</v>
      </c>
      <c r="Q32" s="10">
        <v>12.05072</v>
      </c>
      <c r="R32" s="10">
        <v>1.19129</v>
      </c>
      <c r="S32" s="10">
        <v>10.85943</v>
      </c>
      <c r="T32" s="8">
        <v>13</v>
      </c>
      <c r="U32" s="7">
        <v>43789</v>
      </c>
      <c r="V32" s="8">
        <v>9845267052</v>
      </c>
      <c r="W32" s="9" t="s">
        <v>58</v>
      </c>
      <c r="X32" s="8" t="s">
        <v>29</v>
      </c>
      <c r="Y32" s="9" t="s">
        <v>30</v>
      </c>
      <c r="Z32" s="8" t="s">
        <v>59</v>
      </c>
      <c r="AA32" s="9" t="s">
        <v>60</v>
      </c>
      <c r="AB32" s="10">
        <v>0.12050719999999999</v>
      </c>
    </row>
    <row r="33" spans="1:28" s="4" customFormat="1" ht="13" x14ac:dyDescent="0.3">
      <c r="A33" s="5">
        <v>1229</v>
      </c>
      <c r="B33" s="6" t="s">
        <v>136</v>
      </c>
      <c r="C33" s="7">
        <v>43797</v>
      </c>
      <c r="D33" s="5">
        <v>35</v>
      </c>
      <c r="E33" s="9" t="s">
        <v>37</v>
      </c>
      <c r="F33" s="8" t="s">
        <v>137</v>
      </c>
      <c r="G33" s="9" t="s">
        <v>138</v>
      </c>
      <c r="H33" s="8" t="str">
        <f>"000108"</f>
        <v>000108</v>
      </c>
      <c r="I33" s="7">
        <v>43094</v>
      </c>
      <c r="J33" s="8" t="str">
        <f>"000089"</f>
        <v>000089</v>
      </c>
      <c r="K33" s="7">
        <v>43283</v>
      </c>
      <c r="L33" s="8" t="str">
        <f>"000158"</f>
        <v>000158</v>
      </c>
      <c r="M33" s="7">
        <v>43363</v>
      </c>
      <c r="N33" s="8">
        <v>17</v>
      </c>
      <c r="O33" s="8" t="str">
        <f>"006269"</f>
        <v>006269</v>
      </c>
      <c r="P33" s="7">
        <v>43787</v>
      </c>
      <c r="Q33" s="10">
        <v>129.81449000000001</v>
      </c>
      <c r="R33" s="10">
        <v>12.67449</v>
      </c>
      <c r="S33" s="10">
        <v>117.14</v>
      </c>
      <c r="T33" s="8">
        <v>13</v>
      </c>
      <c r="U33" s="7">
        <v>43797</v>
      </c>
      <c r="V33" s="8">
        <v>9438506966</v>
      </c>
      <c r="W33" s="9" t="s">
        <v>139</v>
      </c>
      <c r="X33" s="8" t="s">
        <v>140</v>
      </c>
      <c r="Y33" s="9" t="s">
        <v>141</v>
      </c>
      <c r="Z33" s="8" t="s">
        <v>43</v>
      </c>
      <c r="AA33" s="9" t="s">
        <v>44</v>
      </c>
      <c r="AB33" s="10">
        <v>1.2981449</v>
      </c>
    </row>
    <row r="34" spans="1:28" s="4" customFormat="1" ht="13" x14ac:dyDescent="0.3">
      <c r="A34" s="5">
        <v>1230</v>
      </c>
      <c r="B34" s="6" t="s">
        <v>142</v>
      </c>
      <c r="C34" s="7">
        <v>43802</v>
      </c>
      <c r="D34" s="5">
        <v>35</v>
      </c>
      <c r="E34" s="9" t="s">
        <v>37</v>
      </c>
      <c r="F34" s="8" t="s">
        <v>90</v>
      </c>
      <c r="G34" s="9" t="s">
        <v>91</v>
      </c>
      <c r="H34" s="8" t="str">
        <f>"000073"</f>
        <v>000073</v>
      </c>
      <c r="I34" s="7">
        <v>43535</v>
      </c>
      <c r="J34" s="8" t="str">
        <f>"000117"</f>
        <v>000117</v>
      </c>
      <c r="K34" s="7">
        <v>43766</v>
      </c>
      <c r="L34" s="8" t="str">
        <f>"000117"</f>
        <v>000117</v>
      </c>
      <c r="M34" s="7">
        <v>43766</v>
      </c>
      <c r="N34" s="8">
        <v>17</v>
      </c>
      <c r="O34" s="8" t="str">
        <f>"006480"</f>
        <v>006480</v>
      </c>
      <c r="P34" s="7">
        <v>43797</v>
      </c>
      <c r="Q34" s="10">
        <v>0.84709999999999996</v>
      </c>
      <c r="R34" s="10">
        <v>1.7690000000000001E-2</v>
      </c>
      <c r="S34" s="10">
        <v>0.82940999999999998</v>
      </c>
      <c r="T34" s="8">
        <v>13</v>
      </c>
      <c r="U34" s="7">
        <v>43802</v>
      </c>
      <c r="V34" s="8">
        <v>9945614169</v>
      </c>
      <c r="W34" s="9" t="s">
        <v>92</v>
      </c>
      <c r="X34" s="8" t="s">
        <v>93</v>
      </c>
      <c r="Y34" s="9" t="s">
        <v>94</v>
      </c>
      <c r="Z34" s="8" t="s">
        <v>95</v>
      </c>
      <c r="AA34" s="9" t="s">
        <v>96</v>
      </c>
      <c r="AB34" s="10">
        <v>8.4709999999999994E-3</v>
      </c>
    </row>
    <row r="35" spans="1:28" s="4" customFormat="1" ht="13" x14ac:dyDescent="0.3">
      <c r="A35" s="5">
        <v>1231</v>
      </c>
      <c r="B35" s="6" t="s">
        <v>142</v>
      </c>
      <c r="C35" s="7">
        <v>43815</v>
      </c>
      <c r="D35" s="5">
        <v>35</v>
      </c>
      <c r="E35" s="9" t="s">
        <v>37</v>
      </c>
      <c r="F35" s="8" t="s">
        <v>143</v>
      </c>
      <c r="G35" s="9" t="s">
        <v>144</v>
      </c>
      <c r="H35" s="8" t="str">
        <f>"000025"</f>
        <v>000025</v>
      </c>
      <c r="I35" s="7">
        <v>43229</v>
      </c>
      <c r="J35" s="8" t="str">
        <f>"000008"</f>
        <v>000008</v>
      </c>
      <c r="K35" s="7">
        <v>43237</v>
      </c>
      <c r="L35" s="8" t="str">
        <f>"000012"</f>
        <v>000012</v>
      </c>
      <c r="M35" s="7">
        <v>43248</v>
      </c>
      <c r="N35" s="8">
        <v>18</v>
      </c>
      <c r="O35" s="8" t="str">
        <f>"006566"</f>
        <v>006566</v>
      </c>
      <c r="P35" s="7">
        <v>43802</v>
      </c>
      <c r="Q35" s="10">
        <v>44.995989999999999</v>
      </c>
      <c r="R35" s="10">
        <v>5.5459899999999998</v>
      </c>
      <c r="S35" s="10">
        <v>39.450000000000003</v>
      </c>
      <c r="T35" s="8">
        <v>13</v>
      </c>
      <c r="U35" s="7">
        <v>43815</v>
      </c>
      <c r="V35" s="8">
        <v>8022975610</v>
      </c>
      <c r="W35" s="9" t="s">
        <v>66</v>
      </c>
      <c r="X35" s="8" t="s">
        <v>73</v>
      </c>
      <c r="Y35" s="9" t="s">
        <v>74</v>
      </c>
      <c r="Z35" s="8" t="s">
        <v>43</v>
      </c>
      <c r="AA35" s="9" t="s">
        <v>44</v>
      </c>
      <c r="AB35" s="10">
        <v>0.44995989999999997</v>
      </c>
    </row>
    <row r="36" spans="1:28" s="4" customFormat="1" ht="13" x14ac:dyDescent="0.3">
      <c r="A36" s="5">
        <v>1232</v>
      </c>
      <c r="B36" s="6" t="s">
        <v>142</v>
      </c>
      <c r="C36" s="7">
        <v>43815</v>
      </c>
      <c r="D36" s="5">
        <v>35</v>
      </c>
      <c r="E36" s="9" t="s">
        <v>37</v>
      </c>
      <c r="F36" s="8" t="s">
        <v>145</v>
      </c>
      <c r="G36" s="9" t="s">
        <v>146</v>
      </c>
      <c r="H36" s="8" t="str">
        <f>"000021"</f>
        <v>000021</v>
      </c>
      <c r="I36" s="7">
        <v>43228</v>
      </c>
      <c r="J36" s="8" t="str">
        <f>"000009"</f>
        <v>000009</v>
      </c>
      <c r="K36" s="7">
        <v>43238</v>
      </c>
      <c r="L36" s="8" t="str">
        <f>"000026"</f>
        <v>000026</v>
      </c>
      <c r="M36" s="7">
        <v>43250</v>
      </c>
      <c r="N36" s="8">
        <v>18</v>
      </c>
      <c r="O36" s="8" t="str">
        <f>"006569"</f>
        <v>006569</v>
      </c>
      <c r="P36" s="7">
        <v>43802</v>
      </c>
      <c r="Q36" s="10">
        <v>3.98942</v>
      </c>
      <c r="R36" s="10">
        <v>0.22942000000000001</v>
      </c>
      <c r="S36" s="10">
        <v>3.76</v>
      </c>
      <c r="T36" s="8">
        <v>13</v>
      </c>
      <c r="U36" s="7">
        <v>43815</v>
      </c>
      <c r="V36" s="8">
        <v>8022975610</v>
      </c>
      <c r="W36" s="9" t="s">
        <v>147</v>
      </c>
      <c r="X36" s="8" t="s">
        <v>32</v>
      </c>
      <c r="Y36" s="9" t="s">
        <v>33</v>
      </c>
      <c r="Z36" s="8" t="s">
        <v>43</v>
      </c>
      <c r="AA36" s="9" t="s">
        <v>44</v>
      </c>
      <c r="AB36" s="10">
        <v>3.9894199999999998E-2</v>
      </c>
    </row>
    <row r="37" spans="1:28" s="4" customFormat="1" ht="13" x14ac:dyDescent="0.3">
      <c r="A37" s="5">
        <v>1233</v>
      </c>
      <c r="B37" s="6" t="s">
        <v>142</v>
      </c>
      <c r="C37" s="7">
        <v>43815</v>
      </c>
      <c r="D37" s="5">
        <v>35</v>
      </c>
      <c r="E37" s="9" t="s">
        <v>37</v>
      </c>
      <c r="F37" s="8" t="s">
        <v>148</v>
      </c>
      <c r="G37" s="9" t="s">
        <v>149</v>
      </c>
      <c r="H37" s="8" t="str">
        <f>"000251"</f>
        <v>000251</v>
      </c>
      <c r="I37" s="7">
        <v>43170</v>
      </c>
      <c r="J37" s="8" t="str">
        <f>"000036"</f>
        <v>000036</v>
      </c>
      <c r="K37" s="7">
        <v>43246</v>
      </c>
      <c r="L37" s="8" t="str">
        <f>"000030"</f>
        <v>000030</v>
      </c>
      <c r="M37" s="7">
        <v>43250</v>
      </c>
      <c r="N37" s="8">
        <v>18</v>
      </c>
      <c r="O37" s="8" t="str">
        <f>"006570"</f>
        <v>006570</v>
      </c>
      <c r="P37" s="7">
        <v>43802</v>
      </c>
      <c r="Q37" s="10">
        <v>17.672599999999999</v>
      </c>
      <c r="R37" s="10">
        <v>1.1526000000000001</v>
      </c>
      <c r="S37" s="10">
        <v>16.52</v>
      </c>
      <c r="T37" s="8">
        <v>13</v>
      </c>
      <c r="U37" s="7">
        <v>43815</v>
      </c>
      <c r="V37" s="8">
        <v>8022975610</v>
      </c>
      <c r="W37" s="9" t="s">
        <v>150</v>
      </c>
      <c r="X37" s="8" t="s">
        <v>151</v>
      </c>
      <c r="Y37" s="9" t="s">
        <v>152</v>
      </c>
      <c r="Z37" s="8" t="s">
        <v>43</v>
      </c>
      <c r="AA37" s="9" t="s">
        <v>44</v>
      </c>
      <c r="AB37" s="10">
        <v>0.17672599999999999</v>
      </c>
    </row>
    <row r="38" spans="1:28" s="4" customFormat="1" ht="13" x14ac:dyDescent="0.3">
      <c r="A38" s="5">
        <v>1234</v>
      </c>
      <c r="B38" s="6" t="s">
        <v>142</v>
      </c>
      <c r="C38" s="7">
        <v>43815</v>
      </c>
      <c r="D38" s="5">
        <v>35</v>
      </c>
      <c r="E38" s="9" t="s">
        <v>37</v>
      </c>
      <c r="F38" s="8" t="s">
        <v>153</v>
      </c>
      <c r="G38" s="9" t="s">
        <v>154</v>
      </c>
      <c r="H38" s="8" t="str">
        <f>"000072"</f>
        <v>000072</v>
      </c>
      <c r="I38" s="7">
        <v>43246</v>
      </c>
      <c r="J38" s="8" t="str">
        <f>"000057"</f>
        <v>000057</v>
      </c>
      <c r="K38" s="7">
        <v>43249</v>
      </c>
      <c r="L38" s="8" t="str">
        <f>"000038"</f>
        <v>000038</v>
      </c>
      <c r="M38" s="7">
        <v>43250</v>
      </c>
      <c r="N38" s="8">
        <v>18</v>
      </c>
      <c r="O38" s="8" t="str">
        <f>"006571"</f>
        <v>006571</v>
      </c>
      <c r="P38" s="7">
        <v>43802</v>
      </c>
      <c r="Q38" s="10">
        <v>3.8132700000000002</v>
      </c>
      <c r="R38" s="10">
        <v>0.27327000000000001</v>
      </c>
      <c r="S38" s="10">
        <v>3.54</v>
      </c>
      <c r="T38" s="8">
        <v>13</v>
      </c>
      <c r="U38" s="7">
        <v>43815</v>
      </c>
      <c r="V38" s="8">
        <v>9964124916</v>
      </c>
      <c r="W38" s="9" t="s">
        <v>53</v>
      </c>
      <c r="X38" s="8" t="s">
        <v>32</v>
      </c>
      <c r="Y38" s="9" t="s">
        <v>33</v>
      </c>
      <c r="Z38" s="8" t="s">
        <v>43</v>
      </c>
      <c r="AA38" s="9" t="s">
        <v>44</v>
      </c>
      <c r="AB38" s="10">
        <v>3.8132699999999999E-2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2020-01-28T11:44:02Z</dcterms:modified>
</cp:coreProperties>
</file>