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2" i="1" l="1"/>
  <c r="L72" i="1"/>
  <c r="J72" i="1"/>
  <c r="H72" i="1"/>
  <c r="O71" i="1"/>
  <c r="L71" i="1"/>
  <c r="J71" i="1"/>
  <c r="H71" i="1"/>
  <c r="O70" i="1"/>
  <c r="L70" i="1"/>
  <c r="J70" i="1"/>
  <c r="H70" i="1"/>
  <c r="O69" i="1"/>
  <c r="L69" i="1"/>
  <c r="J69" i="1"/>
  <c r="H69" i="1"/>
  <c r="O68" i="1"/>
  <c r="L68" i="1"/>
  <c r="J68" i="1"/>
  <c r="H68" i="1"/>
  <c r="O67" i="1"/>
  <c r="L67" i="1"/>
  <c r="J67" i="1"/>
  <c r="H67" i="1"/>
  <c r="O66" i="1"/>
  <c r="L66" i="1"/>
  <c r="J66" i="1"/>
  <c r="H66" i="1"/>
  <c r="O65" i="1"/>
  <c r="L65" i="1"/>
  <c r="J65" i="1"/>
  <c r="H65" i="1"/>
  <c r="O64" i="1"/>
  <c r="L64" i="1"/>
  <c r="J64" i="1"/>
  <c r="H64" i="1"/>
  <c r="O63" i="1"/>
  <c r="L63" i="1"/>
  <c r="J63" i="1"/>
  <c r="H63" i="1"/>
  <c r="O62" i="1"/>
  <c r="L62" i="1"/>
  <c r="J62" i="1"/>
  <c r="H62" i="1"/>
  <c r="O61" i="1"/>
  <c r="L61" i="1"/>
  <c r="J61" i="1"/>
  <c r="H61" i="1"/>
  <c r="O60" i="1"/>
  <c r="L60" i="1"/>
  <c r="J60" i="1"/>
  <c r="H60" i="1"/>
  <c r="O59" i="1"/>
  <c r="L59" i="1"/>
  <c r="J59" i="1"/>
  <c r="H59" i="1"/>
  <c r="O58" i="1"/>
  <c r="L58" i="1"/>
  <c r="J58" i="1"/>
  <c r="H58" i="1"/>
  <c r="O57" i="1"/>
  <c r="L57" i="1"/>
  <c r="J57" i="1"/>
  <c r="H57" i="1"/>
  <c r="O56" i="1"/>
  <c r="L56" i="1"/>
  <c r="J56" i="1"/>
  <c r="H56" i="1"/>
  <c r="O55" i="1"/>
  <c r="L55" i="1"/>
  <c r="J55" i="1"/>
  <c r="H55" i="1"/>
  <c r="O54" i="1"/>
  <c r="L54" i="1"/>
  <c r="J54" i="1"/>
  <c r="H54" i="1"/>
  <c r="O53" i="1"/>
  <c r="L53" i="1"/>
  <c r="J53" i="1"/>
  <c r="H53" i="1"/>
  <c r="O52" i="1"/>
  <c r="L52" i="1"/>
  <c r="J52" i="1"/>
  <c r="H52" i="1"/>
  <c r="O51" i="1"/>
  <c r="L51" i="1"/>
  <c r="J51" i="1"/>
  <c r="H51" i="1"/>
  <c r="O50" i="1"/>
  <c r="L50" i="1"/>
  <c r="J50" i="1"/>
  <c r="H50" i="1"/>
  <c r="O49" i="1"/>
  <c r="L49" i="1"/>
  <c r="J49" i="1"/>
  <c r="H49" i="1"/>
  <c r="O48" i="1"/>
  <c r="L48" i="1"/>
  <c r="J48" i="1"/>
  <c r="H48" i="1"/>
  <c r="O47" i="1"/>
  <c r="L47" i="1"/>
  <c r="J47" i="1"/>
  <c r="H47" i="1"/>
  <c r="O46" i="1"/>
  <c r="L46" i="1"/>
  <c r="J46" i="1"/>
  <c r="H46" i="1"/>
  <c r="O45" i="1"/>
  <c r="L45" i="1"/>
  <c r="J45" i="1"/>
  <c r="H45" i="1"/>
  <c r="AB44" i="1"/>
  <c r="O44" i="1"/>
  <c r="L44" i="1"/>
  <c r="J44" i="1"/>
  <c r="H44" i="1"/>
  <c r="AB43" i="1"/>
  <c r="O43" i="1"/>
  <c r="L43" i="1"/>
  <c r="J43" i="1"/>
  <c r="H43" i="1"/>
  <c r="AB42" i="1"/>
  <c r="O42" i="1"/>
  <c r="L42" i="1"/>
  <c r="J42" i="1"/>
  <c r="H42" i="1"/>
  <c r="AB41"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O28" i="1"/>
  <c r="L28" i="1"/>
  <c r="J28" i="1"/>
  <c r="H28" i="1"/>
  <c r="O27" i="1"/>
  <c r="L27" i="1"/>
  <c r="J27" i="1"/>
  <c r="H27" i="1"/>
  <c r="O26" i="1"/>
  <c r="L26" i="1"/>
  <c r="J26" i="1"/>
  <c r="H26" i="1"/>
  <c r="O25" i="1"/>
  <c r="L25" i="1"/>
  <c r="J25" i="1"/>
  <c r="H25" i="1"/>
  <c r="O24" i="1"/>
  <c r="L24" i="1"/>
  <c r="J24" i="1"/>
  <c r="H24" i="1"/>
  <c r="O23" i="1"/>
  <c r="L23" i="1"/>
  <c r="J23" i="1"/>
  <c r="H23" i="1"/>
  <c r="O22" i="1"/>
  <c r="L22" i="1"/>
  <c r="J22" i="1"/>
  <c r="H22"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<sst xmlns="http://schemas.openxmlformats.org/spreadsheetml/2006/main" count="667" uniqueCount="213">
  <si>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</si>
  <si>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</si>
  <si>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</si>
  <si>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</si>
  <si>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</si>
  <si>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</si>
  <si>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</si>
  <si>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</si>
  <si>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</si>
  <si>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</si>
  <si>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</si>
  <si>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</si>
  <si>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</si>
  <si>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</si>
  <si>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</si>
  <si>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</si>
  <si>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</si>
  <si>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</si>
  <si>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</si>
  <si>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</si>
  <si>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</si>
  <si>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</si>
  <si>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</si>
  <si>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</si>
  <si>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</si>
  <si>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</si>
  <si>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</si>
  <si>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</si>
  <si>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</si>
  <si>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</si>
  <si>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</si>
  <si>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June</t>
  </si>
  <si>
    <t>P1771</t>
  </si>
  <si>
    <t>Zone Works - POW Works</t>
  </si>
  <si>
    <t>May</t>
  </si>
  <si>
    <t>P3111</t>
  </si>
  <si>
    <t>State Finance Commission Untied Grant Works</t>
  </si>
  <si>
    <t>P3409</t>
  </si>
  <si>
    <t>SFC Untied SC-SP/TSP Grant works</t>
  </si>
  <si>
    <t>KRIDL</t>
  </si>
  <si>
    <t>P3110</t>
  </si>
  <si>
    <t>14th Finance Commission Grant Works</t>
  </si>
  <si>
    <t>P0190</t>
  </si>
  <si>
    <t>Works sanctioned by Hon Mayor</t>
  </si>
  <si>
    <t>kridl</t>
  </si>
  <si>
    <t>P2415</t>
  </si>
  <si>
    <t>Reserve fund for TandF Committee</t>
  </si>
  <si>
    <t>ddo201</t>
  </si>
  <si>
    <t xml:space="preserve"> Assistant Executive Engineer Mahalakshmipuram West Zone</t>
  </si>
  <si>
    <t>ddo209</t>
  </si>
  <si>
    <t xml:space="preserve"> Assistant Executive Engineer Electrical West Zone</t>
  </si>
  <si>
    <t>P2178</t>
  </si>
  <si>
    <t>Works sanctioned by Dy. Mayor</t>
  </si>
  <si>
    <t>P3176</t>
  </si>
  <si>
    <t>Developmental works in Ward No. 82, 06,16,44,70,17,26,13,79,35 ( Rs. 300.00 lakhs per each ward)</t>
  </si>
  <si>
    <t>Marappana Palya</t>
  </si>
  <si>
    <t>044-17-000016</t>
  </si>
  <si>
    <t>Providing lighting system to Shankar Nagar park in ward no 44</t>
  </si>
  <si>
    <t>044-17-000087</t>
  </si>
  <si>
    <t>Providing Modren Dust Bin in Bangalore City in ward no 44</t>
  </si>
  <si>
    <t>044-17-000006</t>
  </si>
  <si>
    <t>Improvements to drain and asphalting to roads near Park and surroundings area of further extension in ward NO.44</t>
  </si>
  <si>
    <t>044-16-000002</t>
  </si>
  <si>
    <t xml:space="preserve"> Annual Operation And maintenance Of Street Lights at Marappanapalya in Ward No- 44</t>
  </si>
  <si>
    <t>Ganga Enterprises</t>
  </si>
  <si>
    <t>044-16-000027</t>
  </si>
  <si>
    <t>Providing Shettal cock court in Marappanapalya in ward No.44</t>
  </si>
  <si>
    <t>044-17-000064</t>
  </si>
  <si>
    <t>Providing open gym lightings and fencing at Rajeev Gandhi Nagara in Marappana Palya in ward no 44</t>
  </si>
  <si>
    <t>044-17-000066</t>
  </si>
  <si>
    <t>Re construction of culverts providing flagging course and covering slab 5th 6th and cross roads at Shankaranagar in Marappana palya ward o 44</t>
  </si>
  <si>
    <t>044-19-000013</t>
  </si>
  <si>
    <t>Construction of Culverts near Aralikatte at Krishnanandanagara and improvements to BBMP hospital Shankaranagara in ward no.44 Marappanapalya.</t>
  </si>
  <si>
    <t>044-19-000009</t>
  </si>
  <si>
    <t>Improvements to drain 3rd main and 3rd A main and cross roads at Vijayanandanagara A block in ward no.44 Marappanapalya.(W0163 and W0205)</t>
  </si>
  <si>
    <t>044-19-000011</t>
  </si>
  <si>
    <t>Improvements to drain to  2nd and 3rd main and other cross roads from 6th cross to SWD at Vijayanandanagara A block in ward no.44  Marappanapalya. (W0201 and W0203)</t>
  </si>
  <si>
    <t>044-19-000010</t>
  </si>
  <si>
    <t>Improvements to drains to 4th and 5th main at A block Vijayanandanagara in ward no.44 Marappanapalya.(W0165 and W0162)</t>
  </si>
  <si>
    <t>044-12-000040</t>
  </si>
  <si>
    <t>RCC drain with covering slab 9th main road park side in shankhar nagar in ward-44</t>
  </si>
  <si>
    <t>Manjunatha Associates</t>
  </si>
  <si>
    <t>044-19-000012</t>
  </si>
  <si>
    <t>Improvements to  4th main from 6th cross to SWD  and Secondary drain near Eshwara temple at Vijayanandanagara in ward no.44  Marappanapalya. (W0209 and W0207, W0210)</t>
  </si>
  <si>
    <t>044-19-000014</t>
  </si>
  <si>
    <t>Improvements to raods and drain  at Krishnanandangara and Gowthamanagara in ward no.44 Marappanapalya.</t>
  </si>
  <si>
    <t>044-17-000015</t>
  </si>
  <si>
    <t>Providing lighting system to line park at Shankar Nagar in ward no 44</t>
  </si>
  <si>
    <t>The Technical Manager KRIDL</t>
  </si>
  <si>
    <t>044-17-000047</t>
  </si>
  <si>
    <t>Construction of Mini water tank to Ashokapuram slum and providing covering slab and flagging course, open drain infront of Sri Raj apartment road in ward No.44</t>
  </si>
  <si>
    <t>B.R.puttaswamy</t>
  </si>
  <si>
    <t>044-17-000013</t>
  </si>
  <si>
    <t>Providing LED Streetlights timer switches and connected accessories to Marappana palya in ward no 44</t>
  </si>
  <si>
    <t>044-17-000072</t>
  </si>
  <si>
    <t>Improvements to park, walking track, repairs to fencing and construction of compound wall beside DWCC in Marappana Palya ward no 44</t>
  </si>
  <si>
    <t>Improvements to 4th main from 6th cross to SWD and Secondary drain near Eshwara temple at Vijayanandanagara in ward no.44 Marappanapalya. (W0209 and W0207, W0210)</t>
  </si>
  <si>
    <t>14th Finance Commission Works - SWM Works</t>
  </si>
  <si>
    <t>P3298</t>
  </si>
  <si>
    <t>B.R.Puttaswamy</t>
  </si>
  <si>
    <t>Providing basic amenites for pourakarmikas and other works in ward no 44 Marappanapalya</t>
  </si>
  <si>
    <t>044-19-000068</t>
  </si>
  <si>
    <t>September</t>
  </si>
  <si>
    <t>Special development works in Marappana Palya Ward</t>
  </si>
  <si>
    <t>P3365</t>
  </si>
  <si>
    <t>M/S KRIDL</t>
  </si>
  <si>
    <t>Improvements to Park at Further extention Mahalakshmi layout in ward no.44 Marappanapalya.</t>
  </si>
  <si>
    <t>044-18-000104</t>
  </si>
  <si>
    <t>Emergency works in ward No.44</t>
  </si>
  <si>
    <t>044-17-000045</t>
  </si>
  <si>
    <t>Reconstruction of Anganavadi building at Ashokapura in ward No. 44</t>
  </si>
  <si>
    <t>044-16-000033</t>
  </si>
  <si>
    <t>Special Development works at ward No.82, 6, 16, 44, 70, 17, 26, 13, 79, 35 Rs.8.00 Cr each</t>
  </si>
  <si>
    <t>P3316</t>
  </si>
  <si>
    <t>Construction of Rcc drain behind Shanimahathma temple road at Vijayanandanagara in ward no.44 Marappanapalaya</t>
  </si>
  <si>
    <t>044-18-000015</t>
  </si>
  <si>
    <t>Providing cc road behind Shanimahathma temple road at Vijayanandanagara in ward no.44 Marappanapalaya</t>
  </si>
  <si>
    <t>044-18-000014</t>
  </si>
  <si>
    <t>Improvements to roads and drains at Gajanana slum part-II in ward no.44 Marappanapalya</t>
  </si>
  <si>
    <t>044-18-000021</t>
  </si>
  <si>
    <t>Providing Consultancy services for Preparation of Detailed Project Report (DPR) for the works of Package-1 under the P-code of P3409 ( SFC United SC-SP/tsp Grant Works) in Mahalakshmipuram Division</t>
  </si>
  <si>
    <t>August</t>
  </si>
  <si>
    <t>Improvements to footpath and secondary drain in ward No.44 Marappanapalya</t>
  </si>
  <si>
    <t>044-19-000079</t>
  </si>
  <si>
    <t>Improvements Secondary drain in Ashokapura in ward No.44 Marappanapalya</t>
  </si>
  <si>
    <t>044-19-000077</t>
  </si>
  <si>
    <t>Construction of Rcc drain and road in Srikanteshwaranagara in ward no.44 Marappanapalya</t>
  </si>
  <si>
    <t>044-18-000040</t>
  </si>
  <si>
    <t xml:space="preserve">RCC Drain with covering slab left side Rangamandira Vijayananda Nagar main road in Ward No-44 </t>
  </si>
  <si>
    <t>044-12-000042</t>
  </si>
  <si>
    <t>Construction of Scating court, compound wall and repairs to fencing at Rajeevgandhi Nagar in Marappana Palya ward no 44</t>
  </si>
  <si>
    <t>044-17-000068</t>
  </si>
  <si>
    <t>July</t>
  </si>
  <si>
    <t>Special Development works in ward No.124, 185, 98, 188, 10, 14, 16, 30, 28, 37, 42, 130, 159, 65, 66, 73, 79, 80, 90, 95, 94, 89, 108, 111, 115, 97, 105, 131, 133, 119, 125, 137, 143, 124, 158, 138, 83, 166, 182, 129, 165, 161, 04, 88, 27, 31, 32, 52, 44, 26, 07, 183, 178, 187 (Rs.100 lakhs per ward)</t>
  </si>
  <si>
    <t>P3173</t>
  </si>
  <si>
    <t>Construction of Yoga building beside Ramamandira at Vijayananda Nagar in Marappana Palya in ward no 44</t>
  </si>
  <si>
    <t>044-17-000077</t>
  </si>
  <si>
    <t>Providing Gym equipments to DWCC park in ward no.44 Marappanapalya.</t>
  </si>
  <si>
    <t>044-18-000024</t>
  </si>
  <si>
    <t>Improvements to Park near DWCC in ward no.44 Marappanapalya</t>
  </si>
  <si>
    <t>044-18-000039</t>
  </si>
  <si>
    <t>October</t>
  </si>
  <si>
    <t>Providing Consultancy services for Preparation of Detailed Project Report (DPR) for the works of Package-1 under the P-code of P3111 ( State Finance Commission United Grant Works) in Mahalakshmipuram Division</t>
  </si>
  <si>
    <t>M/s Accord Consultants</t>
  </si>
  <si>
    <t>M/s. Accord Consultants.,</t>
  </si>
  <si>
    <t>M/s. Mecadez Core Technologies Pvt. Ltd.,</t>
  </si>
  <si>
    <t>044-19-000078</t>
  </si>
  <si>
    <t>Improvements secondary drain at Gajanana slum part I in ward No.44 Marappanapalya</t>
  </si>
  <si>
    <t>044-18-000023</t>
  </si>
  <si>
    <t>Drilling of borewell at Kirloskar foundry in ward no.44 Marappanapalya.</t>
  </si>
  <si>
    <t>044-18-000010</t>
  </si>
  <si>
    <t>Drilling of Borewells at Marappanapalya in ward no.44</t>
  </si>
  <si>
    <t>P3328</t>
  </si>
  <si>
    <t>Special Development works at Ward No.22, 31, 44, 70, 74, 102, 135, 176 Rs.1 Cr Each, Ward No.86, 112, 144 Rs.5.Cr Each</t>
  </si>
  <si>
    <t>044-18-000076</t>
  </si>
  <si>
    <t>Construction of Rcc drain with Covering slab to 3rd cross Srikanteshwaranagara in ward no.44 Marappanapalya.</t>
  </si>
  <si>
    <t>044-18-000078</t>
  </si>
  <si>
    <t>Construction of Rcc drain with Covering slab to 2nd main road Srikanteshwaranagara in ward no.44 Marappanapalya.</t>
  </si>
  <si>
    <t>044-19-000064</t>
  </si>
  <si>
    <t>Maintenance of General public toilets at Marappanapalya in ward no 44</t>
  </si>
  <si>
    <t>V.K.Constructions prop. Manish</t>
  </si>
  <si>
    <t>P3294</t>
  </si>
  <si>
    <t>14th Finance Commission Works - General Public ToiletandSeptage Maintenance</t>
  </si>
  <si>
    <t>044-19-000067</t>
  </si>
  <si>
    <t>Improvements of storm water drain at Marappanapalya in ward no 44</t>
  </si>
  <si>
    <t>Puttraju. (Varun constructions)</t>
  </si>
  <si>
    <t>P3297</t>
  </si>
  <si>
    <t>14th Finance Commission Grants - SWD Works</t>
  </si>
  <si>
    <t>044-19-000066</t>
  </si>
  <si>
    <t>Maintenance of roads and footpath at Marappanapalya in ward no 44</t>
  </si>
  <si>
    <t>puttaraju (Varun Constructions)</t>
  </si>
  <si>
    <t>P3296</t>
  </si>
  <si>
    <t>14th Finance Commission Works - Road and Footpath Maintenance</t>
  </si>
  <si>
    <t>044-19-000062</t>
  </si>
  <si>
    <t>Maintenance of community property including parks at Marappanapalya in ward no 44</t>
  </si>
  <si>
    <t>Puttaraju (Varun construtions)</t>
  </si>
  <si>
    <t>P3292</t>
  </si>
  <si>
    <t>14th Finance Commission Works - Community Property Maintenance (including Parks)</t>
  </si>
  <si>
    <t>November</t>
  </si>
  <si>
    <t>044-18-000016</t>
  </si>
  <si>
    <t>Construction of Rcc drain with covering slab at Najundeshwaranagara cross roads in ward no.44 Marappanapalaya</t>
  </si>
  <si>
    <t>044-18-000044</t>
  </si>
  <si>
    <t>Construction of RCC drains with covering slab to 2nd main road, Kanteerava studio main road to 3rd cross, Vijayananda Nagar in ward no 44 Marapanapalya</t>
  </si>
  <si>
    <t>044-17-000002</t>
  </si>
  <si>
    <t>Improvements to concrete roads at Ashokapuram (main slum road ) in ward No.44</t>
  </si>
  <si>
    <t>044-17-000001</t>
  </si>
  <si>
    <t>Improvements to concrete roads at Ashokapuram (Cross road 1st to 9th Cross ) in ward No.44</t>
  </si>
  <si>
    <t>044-18-000079</t>
  </si>
  <si>
    <t>Improvements to Indira Priyadarshini park-1 at Shankaranagara in ward no.44 Marappanapalya.</t>
  </si>
  <si>
    <t>December</t>
  </si>
  <si>
    <t>044-18-000020</t>
  </si>
  <si>
    <t>Drilling of borewells in Rajeevgandhinagara in ward no.44 Marappanapalya.</t>
  </si>
  <si>
    <t>044-18-000065</t>
  </si>
  <si>
    <t>Providing rain water harvesting pits to parks in Marappanapalya in ward no-44</t>
  </si>
  <si>
    <t>P3210</t>
  </si>
  <si>
    <t>Rain Water Harvesting in All Parks</t>
  </si>
  <si>
    <t>044-19-000063</t>
  </si>
  <si>
    <t>Providing drinking water supply through borewells in ward no 44 Marappanapalya</t>
  </si>
  <si>
    <t>P3293</t>
  </si>
  <si>
    <t>14th Finance Commission Works - Drinking Water</t>
  </si>
  <si>
    <t>044-18-000051</t>
  </si>
  <si>
    <t>Construction of RCC drains with covering slab to 3rd cross Vijayananda Nagar in ward no 44</t>
  </si>
  <si>
    <t>044-18-000050</t>
  </si>
  <si>
    <t>Construction of RCC drains with covering slab to 2nd cross Vijayananda Nagar in ward no 44</t>
  </si>
  <si>
    <t>044-18-000043</t>
  </si>
  <si>
    <t>Improvements to footpath in ward no.44 Marappanapalya.</t>
  </si>
  <si>
    <t>044-18-000019</t>
  </si>
  <si>
    <t>Improvements to roads and drains at Rajeevgandhinagara in ward no.44 Marappanapalya</t>
  </si>
  <si>
    <t>044-18-000075</t>
  </si>
  <si>
    <t>Improvements to roads and drains at 7th and 8th cross Shankaranagara in ward no.44 Marappanapalya.</t>
  </si>
  <si>
    <t>M/S KRDIL</t>
  </si>
  <si>
    <t>044-18-000077</t>
  </si>
  <si>
    <t>Construction of Rcc drain with Covering slab to 5th and 6thmain road Srikanteshwaranagara in ward no.44 Marappanapalya.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</si>
</sst>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2"/>
  <sheetViews>
    <sheetView tabSelected="1" workbookViewId="0">
      <selection activeCell="E1" sqref="E1"/>
    </sheetView>
  </sheetViews>
  <sheetFormatPr defaultRowHeight="14.5" x14ac:dyDescent="0.35"/>
  <cols>
    <col min="1" max="1" width="5" bestFit="1" customWidth="1"/>
    <col min="2" max="2" width="6.26953125" bestFit="1" customWidth="1"/>
    <col min="3" max="3" width="9.54296875" bestFit="1" customWidth="1"/>
    <col min="5" max="5" width="13.5429687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1516</v>
      </c>
      <c r="B2" s="6" t="s">
        <v>28</v>
      </c>
      <c r="C2" s="7">
        <v>43566</v>
      </c>
      <c r="D2" s="8">
        <v>44</v>
      </c>
      <c r="E2" s="9" t="s">
        <v>55</v>
      </c>
      <c r="F2" s="8" t="s">
        <v>56</v>
      </c>
      <c r="G2" s="9" t="s">
        <v>57</v>
      </c>
      <c r="H2" s="8" t="str">
        <f>"000068"</f>
        <v>000068</v>
      </c>
      <c r="I2" s="7">
        <v>42887</v>
      </c>
      <c r="J2" s="8" t="str">
        <f>"000010"</f>
        <v>000010</v>
      </c>
      <c r="K2" s="7">
        <v>42915</v>
      </c>
      <c r="L2" s="8" t="str">
        <f>"000012"</f>
        <v>000012</v>
      </c>
      <c r="M2" s="7">
        <v>42915</v>
      </c>
      <c r="N2" s="8">
        <v>17</v>
      </c>
      <c r="O2" s="8" t="str">
        <f>"000083"</f>
        <v>000083</v>
      </c>
      <c r="P2" s="7">
        <v>43563</v>
      </c>
      <c r="Q2" s="10">
        <v>7.4893099999999997</v>
      </c>
      <c r="R2" s="10">
        <v>1.10381</v>
      </c>
      <c r="S2" s="10">
        <v>6.3855000000000004</v>
      </c>
      <c r="T2" s="8">
        <v>12</v>
      </c>
      <c r="U2" s="7">
        <v>43566</v>
      </c>
      <c r="V2" s="8">
        <v>9845008155</v>
      </c>
      <c r="W2" s="9" t="s">
        <v>39</v>
      </c>
      <c r="X2" s="8" t="s">
        <v>51</v>
      </c>
      <c r="Y2" s="9" t="s">
        <v>52</v>
      </c>
      <c r="Z2" s="8" t="s">
        <v>49</v>
      </c>
      <c r="AA2" s="9" t="s">
        <v>50</v>
      </c>
      <c r="AB2" s="10">
        <f t="shared" ref="AB2:AB10" si="0">Q2/100</f>
        <v>7.489309999999999E-2</v>
      </c>
    </row>
    <row r="3" spans="1:28" s="4" customFormat="1" ht="13" x14ac:dyDescent="0.3">
      <c r="A3" s="5">
        <v>1517</v>
      </c>
      <c r="B3" s="6" t="s">
        <v>28</v>
      </c>
      <c r="C3" s="7">
        <v>43566</v>
      </c>
      <c r="D3" s="8">
        <v>44</v>
      </c>
      <c r="E3" s="9" t="s">
        <v>55</v>
      </c>
      <c r="F3" s="8" t="s">
        <v>58</v>
      </c>
      <c r="G3" s="9" t="s">
        <v>59</v>
      </c>
      <c r="H3" s="8" t="str">
        <f>"000233"</f>
        <v>000233</v>
      </c>
      <c r="I3" s="7">
        <v>43481</v>
      </c>
      <c r="J3" s="8" t="str">
        <f>"000310"</f>
        <v>000310</v>
      </c>
      <c r="K3" s="7">
        <v>43529</v>
      </c>
      <c r="L3" s="8" t="str">
        <f>"000501"</f>
        <v>000501</v>
      </c>
      <c r="M3" s="7">
        <v>43531</v>
      </c>
      <c r="N3" s="8">
        <v>17</v>
      </c>
      <c r="O3" s="8" t="str">
        <f>"000315"</f>
        <v>000315</v>
      </c>
      <c r="P3" s="7">
        <v>43565</v>
      </c>
      <c r="Q3" s="10">
        <v>1.4998800000000001</v>
      </c>
      <c r="R3" s="10">
        <v>0.14829000000000001</v>
      </c>
      <c r="S3" s="10">
        <v>1.3515900000000001</v>
      </c>
      <c r="T3" s="8">
        <v>16</v>
      </c>
      <c r="U3" s="7">
        <v>43566</v>
      </c>
      <c r="V3" s="8">
        <v>9900333496</v>
      </c>
      <c r="W3" s="9" t="s">
        <v>44</v>
      </c>
      <c r="X3" s="8" t="s">
        <v>40</v>
      </c>
      <c r="Y3" s="9" t="s">
        <v>41</v>
      </c>
      <c r="Z3" s="8" t="s">
        <v>47</v>
      </c>
      <c r="AA3" s="9" t="s">
        <v>48</v>
      </c>
      <c r="AB3" s="10">
        <f t="shared" si="0"/>
        <v>1.4998800000000001E-2</v>
      </c>
    </row>
    <row r="4" spans="1:28" s="4" customFormat="1" ht="13" x14ac:dyDescent="0.3">
      <c r="A4" s="5">
        <v>1518</v>
      </c>
      <c r="B4" s="6" t="s">
        <v>28</v>
      </c>
      <c r="C4" s="7">
        <v>43580</v>
      </c>
      <c r="D4" s="8">
        <v>44</v>
      </c>
      <c r="E4" s="9" t="s">
        <v>55</v>
      </c>
      <c r="F4" s="8" t="s">
        <v>60</v>
      </c>
      <c r="G4" s="9" t="s">
        <v>61</v>
      </c>
      <c r="H4" s="8" t="str">
        <f>"000229"</f>
        <v>000229</v>
      </c>
      <c r="I4" s="7">
        <v>42601</v>
      </c>
      <c r="J4" s="8" t="str">
        <f>"000174"</f>
        <v>000174</v>
      </c>
      <c r="K4" s="7">
        <v>42873</v>
      </c>
      <c r="L4" s="8" t="str">
        <f>"000354"</f>
        <v>000354</v>
      </c>
      <c r="M4" s="7">
        <v>42916</v>
      </c>
      <c r="N4" s="8">
        <v>17</v>
      </c>
      <c r="O4" s="8" t="str">
        <f>"000749"</f>
        <v>000749</v>
      </c>
      <c r="P4" s="7">
        <v>43578</v>
      </c>
      <c r="Q4" s="10">
        <v>19.726559999999999</v>
      </c>
      <c r="R4" s="10">
        <v>2.8863099999999999</v>
      </c>
      <c r="S4" s="10">
        <v>16.840250000000001</v>
      </c>
      <c r="T4" s="8">
        <v>28</v>
      </c>
      <c r="U4" s="7">
        <v>43580</v>
      </c>
      <c r="V4" s="8">
        <v>9900333496</v>
      </c>
      <c r="W4" s="9" t="s">
        <v>44</v>
      </c>
      <c r="X4" s="8" t="s">
        <v>51</v>
      </c>
      <c r="Y4" s="9" t="s">
        <v>52</v>
      </c>
      <c r="Z4" s="8" t="s">
        <v>47</v>
      </c>
      <c r="AA4" s="9" t="s">
        <v>48</v>
      </c>
      <c r="AB4" s="10">
        <f t="shared" si="0"/>
        <v>0.19726559999999999</v>
      </c>
    </row>
    <row r="5" spans="1:28" s="4" customFormat="1" ht="13" x14ac:dyDescent="0.3">
      <c r="A5" s="5">
        <v>1519</v>
      </c>
      <c r="B5" s="6" t="s">
        <v>28</v>
      </c>
      <c r="C5" s="7">
        <v>43580</v>
      </c>
      <c r="D5" s="8">
        <v>44</v>
      </c>
      <c r="E5" s="9" t="s">
        <v>55</v>
      </c>
      <c r="F5" s="8" t="s">
        <v>62</v>
      </c>
      <c r="G5" s="9" t="s">
        <v>63</v>
      </c>
      <c r="H5" s="8" t="str">
        <f>"000005"</f>
        <v>000005</v>
      </c>
      <c r="I5" s="7">
        <v>42931</v>
      </c>
      <c r="J5" s="8" t="str">
        <f>"000216"</f>
        <v>000216</v>
      </c>
      <c r="K5" s="7">
        <v>43498</v>
      </c>
      <c r="L5" s="8" t="str">
        <f>"000213"</f>
        <v>000213</v>
      </c>
      <c r="M5" s="7">
        <v>43498</v>
      </c>
      <c r="N5" s="8">
        <v>16</v>
      </c>
      <c r="O5" s="8" t="str">
        <f>"000980"</f>
        <v>000980</v>
      </c>
      <c r="P5" s="7">
        <v>43579</v>
      </c>
      <c r="Q5" s="10">
        <v>14.79805</v>
      </c>
      <c r="R5" s="10">
        <v>1.46299</v>
      </c>
      <c r="S5" s="10">
        <v>13.33506</v>
      </c>
      <c r="T5" s="8">
        <v>29</v>
      </c>
      <c r="U5" s="7">
        <v>43580</v>
      </c>
      <c r="V5" s="8">
        <v>9620096296</v>
      </c>
      <c r="W5" s="9" t="s">
        <v>64</v>
      </c>
      <c r="X5" s="8" t="s">
        <v>29</v>
      </c>
      <c r="Y5" s="9" t="s">
        <v>30</v>
      </c>
      <c r="Z5" s="8" t="s">
        <v>49</v>
      </c>
      <c r="AA5" s="9" t="s">
        <v>50</v>
      </c>
      <c r="AB5" s="10">
        <f t="shared" si="0"/>
        <v>0.14798049999999999</v>
      </c>
    </row>
    <row r="6" spans="1:28" s="4" customFormat="1" ht="13" x14ac:dyDescent="0.3">
      <c r="A6" s="5">
        <v>1520</v>
      </c>
      <c r="B6" s="6" t="s">
        <v>34</v>
      </c>
      <c r="C6" s="7">
        <v>43591</v>
      </c>
      <c r="D6" s="8">
        <v>44</v>
      </c>
      <c r="E6" s="9" t="s">
        <v>55</v>
      </c>
      <c r="F6" s="8" t="s">
        <v>86</v>
      </c>
      <c r="G6" s="9" t="s">
        <v>87</v>
      </c>
      <c r="H6" s="8" t="str">
        <f>"000087"</f>
        <v>000087</v>
      </c>
      <c r="I6" s="7">
        <v>42915</v>
      </c>
      <c r="J6" s="8" t="str">
        <f>"000023"</f>
        <v>000023</v>
      </c>
      <c r="K6" s="7">
        <v>42916</v>
      </c>
      <c r="L6" s="8" t="str">
        <f>"000059"</f>
        <v>000059</v>
      </c>
      <c r="M6" s="7">
        <v>42916</v>
      </c>
      <c r="N6" s="8">
        <v>17</v>
      </c>
      <c r="O6" s="8" t="str">
        <f>"001189"</f>
        <v>001189</v>
      </c>
      <c r="P6" s="7">
        <v>43582</v>
      </c>
      <c r="Q6" s="10">
        <v>16.97139</v>
      </c>
      <c r="R6" s="10">
        <v>2.50508</v>
      </c>
      <c r="S6" s="10">
        <v>14.46631</v>
      </c>
      <c r="T6" s="8">
        <v>37</v>
      </c>
      <c r="U6" s="7">
        <v>43591</v>
      </c>
      <c r="V6" s="8">
        <v>9845008155</v>
      </c>
      <c r="W6" s="9" t="s">
        <v>88</v>
      </c>
      <c r="X6" s="8" t="s">
        <v>51</v>
      </c>
      <c r="Y6" s="9" t="s">
        <v>52</v>
      </c>
      <c r="Z6" s="8" t="s">
        <v>49</v>
      </c>
      <c r="AA6" s="9" t="s">
        <v>50</v>
      </c>
      <c r="AB6" s="10">
        <f t="shared" si="0"/>
        <v>0.1697139</v>
      </c>
    </row>
    <row r="7" spans="1:28" s="4" customFormat="1" ht="13" x14ac:dyDescent="0.3">
      <c r="A7" s="5">
        <v>1521</v>
      </c>
      <c r="B7" s="6" t="s">
        <v>34</v>
      </c>
      <c r="C7" s="7">
        <v>43609</v>
      </c>
      <c r="D7" s="8">
        <v>44</v>
      </c>
      <c r="E7" s="9" t="s">
        <v>55</v>
      </c>
      <c r="F7" s="8" t="s">
        <v>89</v>
      </c>
      <c r="G7" s="9" t="s">
        <v>90</v>
      </c>
      <c r="H7" s="8" t="str">
        <f>"000055"</f>
        <v>000055</v>
      </c>
      <c r="I7" s="7">
        <v>42935</v>
      </c>
      <c r="J7" s="8" t="str">
        <f>"000056"</f>
        <v>000056</v>
      </c>
      <c r="K7" s="7">
        <v>43039</v>
      </c>
      <c r="L7" s="8" t="str">
        <f>"000091"</f>
        <v>000091</v>
      </c>
      <c r="M7" s="7">
        <v>43039</v>
      </c>
      <c r="N7" s="8">
        <v>17</v>
      </c>
      <c r="O7" s="8" t="str">
        <f>"001951"</f>
        <v>001951</v>
      </c>
      <c r="P7" s="7">
        <v>43607</v>
      </c>
      <c r="Q7" s="10">
        <v>9.8978000000000002</v>
      </c>
      <c r="R7" s="10">
        <v>0.50111000000000006</v>
      </c>
      <c r="S7" s="10">
        <v>9.3966899999999995</v>
      </c>
      <c r="T7" s="8">
        <v>57</v>
      </c>
      <c r="U7" s="7">
        <v>43609</v>
      </c>
      <c r="V7" s="8">
        <v>9945299158</v>
      </c>
      <c r="W7" s="9" t="s">
        <v>91</v>
      </c>
      <c r="X7" s="8" t="s">
        <v>32</v>
      </c>
      <c r="Y7" s="9" t="s">
        <v>33</v>
      </c>
      <c r="Z7" s="8" t="s">
        <v>47</v>
      </c>
      <c r="AA7" s="9" t="s">
        <v>48</v>
      </c>
      <c r="AB7" s="10">
        <f t="shared" si="0"/>
        <v>9.8977999999999997E-2</v>
      </c>
    </row>
    <row r="8" spans="1:28" s="4" customFormat="1" ht="13" x14ac:dyDescent="0.3">
      <c r="A8" s="5">
        <v>1522</v>
      </c>
      <c r="B8" s="6" t="s">
        <v>34</v>
      </c>
      <c r="C8" s="7">
        <v>43610</v>
      </c>
      <c r="D8" s="8">
        <v>44</v>
      </c>
      <c r="E8" s="9" t="s">
        <v>55</v>
      </c>
      <c r="F8" s="8" t="s">
        <v>92</v>
      </c>
      <c r="G8" s="9" t="s">
        <v>93</v>
      </c>
      <c r="H8" s="8" t="str">
        <f>"000095"</f>
        <v>000095</v>
      </c>
      <c r="I8" s="7">
        <v>43110</v>
      </c>
      <c r="J8" s="8" t="str">
        <f>"000092"</f>
        <v>000092</v>
      </c>
      <c r="K8" s="7">
        <v>43150</v>
      </c>
      <c r="L8" s="8" t="str">
        <f>"000117"</f>
        <v>000117</v>
      </c>
      <c r="M8" s="7">
        <v>43150</v>
      </c>
      <c r="N8" s="8">
        <v>17</v>
      </c>
      <c r="O8" s="8" t="str">
        <f>"002006"</f>
        <v>002006</v>
      </c>
      <c r="P8" s="7">
        <v>43608</v>
      </c>
      <c r="Q8" s="10">
        <v>49.921320000000001</v>
      </c>
      <c r="R8" s="10">
        <v>6.2910000000000004</v>
      </c>
      <c r="S8" s="10">
        <v>43.630319999999998</v>
      </c>
      <c r="T8" s="8">
        <v>59</v>
      </c>
      <c r="U8" s="7">
        <v>43610</v>
      </c>
      <c r="V8" s="8">
        <v>9845008155</v>
      </c>
      <c r="W8" s="9" t="s">
        <v>88</v>
      </c>
      <c r="X8" s="8" t="s">
        <v>45</v>
      </c>
      <c r="Y8" s="9" t="s">
        <v>46</v>
      </c>
      <c r="Z8" s="8" t="s">
        <v>49</v>
      </c>
      <c r="AA8" s="9" t="s">
        <v>50</v>
      </c>
      <c r="AB8" s="10">
        <f t="shared" si="0"/>
        <v>0.49921320000000002</v>
      </c>
    </row>
    <row r="9" spans="1:28" s="4" customFormat="1" ht="13" x14ac:dyDescent="0.3">
      <c r="A9" s="5">
        <v>1523</v>
      </c>
      <c r="B9" s="6" t="s">
        <v>34</v>
      </c>
      <c r="C9" s="7">
        <v>43610</v>
      </c>
      <c r="D9" s="8">
        <v>44</v>
      </c>
      <c r="E9" s="9" t="s">
        <v>55</v>
      </c>
      <c r="F9" s="8" t="s">
        <v>94</v>
      </c>
      <c r="G9" s="9" t="s">
        <v>95</v>
      </c>
      <c r="H9" s="8" t="str">
        <f>"000126"</f>
        <v>000126</v>
      </c>
      <c r="I9" s="7">
        <v>42913</v>
      </c>
      <c r="J9" s="8" t="str">
        <f>"000137"</f>
        <v>000137</v>
      </c>
      <c r="K9" s="7">
        <v>43154</v>
      </c>
      <c r="L9" s="8" t="str">
        <f>"000224"</f>
        <v>000224</v>
      </c>
      <c r="M9" s="7">
        <v>43157</v>
      </c>
      <c r="N9" s="8">
        <v>17</v>
      </c>
      <c r="O9" s="8" t="str">
        <f>"002021"</f>
        <v>002021</v>
      </c>
      <c r="P9" s="7">
        <v>43608</v>
      </c>
      <c r="Q9" s="10">
        <v>34.605960000000003</v>
      </c>
      <c r="R9" s="10">
        <v>4.18194</v>
      </c>
      <c r="S9" s="10">
        <v>30.424019999999999</v>
      </c>
      <c r="T9" s="8">
        <v>59</v>
      </c>
      <c r="U9" s="7">
        <v>43610</v>
      </c>
      <c r="V9" s="8">
        <v>9900333496</v>
      </c>
      <c r="W9" s="9" t="s">
        <v>44</v>
      </c>
      <c r="X9" s="8" t="s">
        <v>53</v>
      </c>
      <c r="Y9" s="9" t="s">
        <v>54</v>
      </c>
      <c r="Z9" s="8" t="s">
        <v>47</v>
      </c>
      <c r="AA9" s="9" t="s">
        <v>48</v>
      </c>
      <c r="AB9" s="10">
        <f t="shared" si="0"/>
        <v>0.34605960000000002</v>
      </c>
    </row>
    <row r="10" spans="1:28" s="4" customFormat="1" ht="13" x14ac:dyDescent="0.3">
      <c r="A10" s="5">
        <v>1524</v>
      </c>
      <c r="B10" s="6" t="s">
        <v>34</v>
      </c>
      <c r="C10" s="7">
        <v>43612</v>
      </c>
      <c r="D10" s="8">
        <v>44</v>
      </c>
      <c r="E10" s="9" t="s">
        <v>55</v>
      </c>
      <c r="F10" s="8" t="s">
        <v>82</v>
      </c>
      <c r="G10" s="9" t="s">
        <v>96</v>
      </c>
      <c r="H10" s="8" t="str">
        <f>"000005"</f>
        <v>000005</v>
      </c>
      <c r="I10" s="7">
        <v>43588</v>
      </c>
      <c r="J10" s="8" t="str">
        <f>"000012"</f>
        <v>000012</v>
      </c>
      <c r="K10" s="7">
        <v>43589</v>
      </c>
      <c r="L10" s="8" t="str">
        <f>"000015"</f>
        <v>000015</v>
      </c>
      <c r="M10" s="7">
        <v>43589</v>
      </c>
      <c r="N10" s="8">
        <v>19</v>
      </c>
      <c r="O10" s="8" t="str">
        <f>"002016"</f>
        <v>002016</v>
      </c>
      <c r="P10" s="7">
        <v>43608</v>
      </c>
      <c r="Q10" s="10">
        <v>36.192799999999998</v>
      </c>
      <c r="R10" s="10">
        <v>4.4058099999999998</v>
      </c>
      <c r="S10" s="10">
        <v>31.786989999999999</v>
      </c>
      <c r="T10" s="8">
        <v>61</v>
      </c>
      <c r="U10" s="7">
        <v>43612</v>
      </c>
      <c r="V10" s="8">
        <v>9900333496</v>
      </c>
      <c r="W10" s="9" t="s">
        <v>44</v>
      </c>
      <c r="X10" s="8" t="s">
        <v>35</v>
      </c>
      <c r="Y10" s="9" t="s">
        <v>36</v>
      </c>
      <c r="Z10" s="8" t="s">
        <v>47</v>
      </c>
      <c r="AA10" s="9" t="s">
        <v>48</v>
      </c>
      <c r="AB10" s="10">
        <f t="shared" si="0"/>
        <v>0.36192799999999997</v>
      </c>
    </row>
    <row r="11" spans="1:28" s="4" customFormat="1" ht="13" x14ac:dyDescent="0.3">
      <c r="A11" s="5">
        <v>1525</v>
      </c>
      <c r="B11" s="6" t="s">
        <v>31</v>
      </c>
      <c r="C11" s="7">
        <v>43628</v>
      </c>
      <c r="D11" s="8">
        <v>44</v>
      </c>
      <c r="E11" s="9" t="s">
        <v>55</v>
      </c>
      <c r="F11" s="8" t="s">
        <v>65</v>
      </c>
      <c r="G11" s="9" t="s">
        <v>66</v>
      </c>
      <c r="H11" s="8" t="str">
        <f>"000280"</f>
        <v>000280</v>
      </c>
      <c r="I11" s="7">
        <v>42612</v>
      </c>
      <c r="J11" s="8" t="str">
        <f>"000346"</f>
        <v>000346</v>
      </c>
      <c r="K11" s="7">
        <v>42700</v>
      </c>
      <c r="L11" s="8" t="str">
        <f>"000733"</f>
        <v>000733</v>
      </c>
      <c r="M11" s="7">
        <v>42704</v>
      </c>
      <c r="N11" s="8">
        <v>16</v>
      </c>
      <c r="O11" s="8" t="str">
        <f>"009826"</f>
        <v>009826</v>
      </c>
      <c r="P11" s="7">
        <v>43544</v>
      </c>
      <c r="Q11" s="10">
        <v>16.838889999999999</v>
      </c>
      <c r="R11" s="10">
        <v>2.0950600000000001</v>
      </c>
      <c r="S11" s="10">
        <v>14.743830000000001</v>
      </c>
      <c r="T11" s="8">
        <v>76</v>
      </c>
      <c r="U11" s="7">
        <v>43628</v>
      </c>
      <c r="V11" s="8">
        <v>9900333496</v>
      </c>
      <c r="W11" s="9" t="s">
        <v>44</v>
      </c>
      <c r="X11" s="8" t="s">
        <v>42</v>
      </c>
      <c r="Y11" s="9" t="s">
        <v>43</v>
      </c>
      <c r="Z11" s="8" t="s">
        <v>47</v>
      </c>
      <c r="AA11" s="9" t="s">
        <v>48</v>
      </c>
      <c r="AB11" s="10">
        <v>0.16838889999999998</v>
      </c>
    </row>
    <row r="12" spans="1:28" s="4" customFormat="1" ht="13" x14ac:dyDescent="0.3">
      <c r="A12" s="5">
        <v>1526</v>
      </c>
      <c r="B12" s="6" t="s">
        <v>31</v>
      </c>
      <c r="C12" s="7">
        <v>43628</v>
      </c>
      <c r="D12" s="8">
        <v>44</v>
      </c>
      <c r="E12" s="9" t="s">
        <v>55</v>
      </c>
      <c r="F12" s="8" t="s">
        <v>67</v>
      </c>
      <c r="G12" s="9" t="s">
        <v>68</v>
      </c>
      <c r="H12" s="8" t="str">
        <f>"000119"</f>
        <v>000119</v>
      </c>
      <c r="I12" s="7">
        <v>42913</v>
      </c>
      <c r="J12" s="8" t="str">
        <f>"000092"</f>
        <v>000092</v>
      </c>
      <c r="K12" s="7">
        <v>43096</v>
      </c>
      <c r="L12" s="8" t="str">
        <f>"000146"</f>
        <v>000146</v>
      </c>
      <c r="M12" s="7">
        <v>43096</v>
      </c>
      <c r="N12" s="8">
        <v>17</v>
      </c>
      <c r="O12" s="8" t="str">
        <f>"002601"</f>
        <v>002601</v>
      </c>
      <c r="P12" s="7">
        <v>43627</v>
      </c>
      <c r="Q12" s="10">
        <v>24.749030000000001</v>
      </c>
      <c r="R12" s="10">
        <v>2.9558599999999999</v>
      </c>
      <c r="S12" s="10">
        <v>21.79317</v>
      </c>
      <c r="T12" s="8">
        <v>76</v>
      </c>
      <c r="U12" s="7">
        <v>43628</v>
      </c>
      <c r="V12" s="8">
        <v>9900333496</v>
      </c>
      <c r="W12" s="9" t="s">
        <v>44</v>
      </c>
      <c r="X12" s="8" t="s">
        <v>51</v>
      </c>
      <c r="Y12" s="9" t="s">
        <v>52</v>
      </c>
      <c r="Z12" s="8" t="s">
        <v>47</v>
      </c>
      <c r="AA12" s="9" t="s">
        <v>48</v>
      </c>
      <c r="AB12" s="10">
        <v>0.24749030000000002</v>
      </c>
    </row>
    <row r="13" spans="1:28" s="4" customFormat="1" ht="13" x14ac:dyDescent="0.3">
      <c r="A13" s="5">
        <v>1527</v>
      </c>
      <c r="B13" s="6" t="s">
        <v>31</v>
      </c>
      <c r="C13" s="7">
        <v>43628</v>
      </c>
      <c r="D13" s="8">
        <v>44</v>
      </c>
      <c r="E13" s="9" t="s">
        <v>55</v>
      </c>
      <c r="F13" s="8" t="s">
        <v>69</v>
      </c>
      <c r="G13" s="9" t="s">
        <v>70</v>
      </c>
      <c r="H13" s="8" t="str">
        <f>"000121"</f>
        <v>000121</v>
      </c>
      <c r="I13" s="7">
        <v>42913</v>
      </c>
      <c r="J13" s="8" t="str">
        <f>"000093"</f>
        <v>000093</v>
      </c>
      <c r="K13" s="7">
        <v>43096</v>
      </c>
      <c r="L13" s="8" t="str">
        <f>"000147"</f>
        <v>000147</v>
      </c>
      <c r="M13" s="7">
        <v>43096</v>
      </c>
      <c r="N13" s="8">
        <v>17</v>
      </c>
      <c r="O13" s="8" t="str">
        <f>"002607"</f>
        <v>002607</v>
      </c>
      <c r="P13" s="7">
        <v>43627</v>
      </c>
      <c r="Q13" s="10">
        <v>19.7926</v>
      </c>
      <c r="R13" s="10">
        <v>2.3729499999999999</v>
      </c>
      <c r="S13" s="10">
        <v>17.419650000000001</v>
      </c>
      <c r="T13" s="8">
        <v>76</v>
      </c>
      <c r="U13" s="7">
        <v>43628</v>
      </c>
      <c r="V13" s="8">
        <v>9900333496</v>
      </c>
      <c r="W13" s="9" t="s">
        <v>44</v>
      </c>
      <c r="X13" s="8" t="s">
        <v>51</v>
      </c>
      <c r="Y13" s="9" t="s">
        <v>52</v>
      </c>
      <c r="Z13" s="8" t="s">
        <v>47</v>
      </c>
      <c r="AA13" s="9" t="s">
        <v>48</v>
      </c>
      <c r="AB13" s="10">
        <v>0.19792599999999999</v>
      </c>
    </row>
    <row r="14" spans="1:28" s="4" customFormat="1" ht="13" x14ac:dyDescent="0.3">
      <c r="A14" s="5">
        <v>1528</v>
      </c>
      <c r="B14" s="6" t="s">
        <v>31</v>
      </c>
      <c r="C14" s="7">
        <v>43629</v>
      </c>
      <c r="D14" s="8">
        <v>44</v>
      </c>
      <c r="E14" s="9" t="s">
        <v>55</v>
      </c>
      <c r="F14" s="8" t="s">
        <v>71</v>
      </c>
      <c r="G14" s="9" t="s">
        <v>72</v>
      </c>
      <c r="H14" s="8" t="str">
        <f>"000004"</f>
        <v>000004</v>
      </c>
      <c r="I14" s="7">
        <v>43582</v>
      </c>
      <c r="J14" s="8" t="str">
        <f>"000007"</f>
        <v>000007</v>
      </c>
      <c r="K14" s="7">
        <v>43582</v>
      </c>
      <c r="L14" s="8" t="str">
        <f>"000008"</f>
        <v>000008</v>
      </c>
      <c r="M14" s="7">
        <v>43582</v>
      </c>
      <c r="N14" s="8">
        <v>19</v>
      </c>
      <c r="O14" s="8" t="str">
        <f>"002525"</f>
        <v>002525</v>
      </c>
      <c r="P14" s="7">
        <v>43623</v>
      </c>
      <c r="Q14" s="10">
        <v>27.52345</v>
      </c>
      <c r="R14" s="10">
        <v>3.4017400000000002</v>
      </c>
      <c r="S14" s="10">
        <v>24.12171</v>
      </c>
      <c r="T14" s="8">
        <v>81</v>
      </c>
      <c r="U14" s="7">
        <v>43629</v>
      </c>
      <c r="V14" s="8">
        <v>9900333496</v>
      </c>
      <c r="W14" s="9" t="s">
        <v>44</v>
      </c>
      <c r="X14" s="8" t="s">
        <v>35</v>
      </c>
      <c r="Y14" s="9" t="s">
        <v>36</v>
      </c>
      <c r="Z14" s="8" t="s">
        <v>47</v>
      </c>
      <c r="AA14" s="9" t="s">
        <v>48</v>
      </c>
      <c r="AB14" s="10">
        <v>0.27523449999999999</v>
      </c>
    </row>
    <row r="15" spans="1:28" s="4" customFormat="1" ht="13" x14ac:dyDescent="0.3">
      <c r="A15" s="5">
        <v>1529</v>
      </c>
      <c r="B15" s="6" t="s">
        <v>31</v>
      </c>
      <c r="C15" s="7">
        <v>43629</v>
      </c>
      <c r="D15" s="8">
        <v>44</v>
      </c>
      <c r="E15" s="9" t="s">
        <v>55</v>
      </c>
      <c r="F15" s="8" t="s">
        <v>73</v>
      </c>
      <c r="G15" s="9" t="s">
        <v>74</v>
      </c>
      <c r="H15" s="8" t="str">
        <f>"000003"</f>
        <v>000003</v>
      </c>
      <c r="I15" s="7">
        <v>43581</v>
      </c>
      <c r="J15" s="8" t="str">
        <f>"000004"</f>
        <v>000004</v>
      </c>
      <c r="K15" s="7">
        <v>43581</v>
      </c>
      <c r="L15" s="8" t="str">
        <f>"000005"</f>
        <v>000005</v>
      </c>
      <c r="M15" s="7">
        <v>43582</v>
      </c>
      <c r="N15" s="8">
        <v>19</v>
      </c>
      <c r="O15" s="8" t="str">
        <f>"002555"</f>
        <v>002555</v>
      </c>
      <c r="P15" s="7">
        <v>43626</v>
      </c>
      <c r="Q15" s="10">
        <v>28.627829999999999</v>
      </c>
      <c r="R15" s="10">
        <v>3.5049000000000001</v>
      </c>
      <c r="S15" s="10">
        <v>25.12293</v>
      </c>
      <c r="T15" s="8">
        <v>81</v>
      </c>
      <c r="U15" s="7">
        <v>43629</v>
      </c>
      <c r="V15" s="8">
        <v>9900333496</v>
      </c>
      <c r="W15" s="9" t="s">
        <v>44</v>
      </c>
      <c r="X15" s="8" t="s">
        <v>37</v>
      </c>
      <c r="Y15" s="9" t="s">
        <v>38</v>
      </c>
      <c r="Z15" s="8" t="s">
        <v>47</v>
      </c>
      <c r="AA15" s="9" t="s">
        <v>48</v>
      </c>
      <c r="AB15" s="10">
        <v>0.28627829999999999</v>
      </c>
    </row>
    <row r="16" spans="1:28" s="4" customFormat="1" ht="13" x14ac:dyDescent="0.3">
      <c r="A16" s="5">
        <v>1530</v>
      </c>
      <c r="B16" s="6" t="s">
        <v>31</v>
      </c>
      <c r="C16" s="7">
        <v>43629</v>
      </c>
      <c r="D16" s="8">
        <v>44</v>
      </c>
      <c r="E16" s="9" t="s">
        <v>55</v>
      </c>
      <c r="F16" s="8" t="s">
        <v>75</v>
      </c>
      <c r="G16" s="9" t="s">
        <v>76</v>
      </c>
      <c r="H16" s="8" t="str">
        <f>"000314"</f>
        <v>000314</v>
      </c>
      <c r="I16" s="7">
        <v>43526</v>
      </c>
      <c r="J16" s="8" t="str">
        <f>"000027"</f>
        <v>000027</v>
      </c>
      <c r="K16" s="7">
        <v>43594</v>
      </c>
      <c r="L16" s="8" t="str">
        <f>"000040"</f>
        <v>000040</v>
      </c>
      <c r="M16" s="7">
        <v>43594</v>
      </c>
      <c r="N16" s="8">
        <v>19</v>
      </c>
      <c r="O16" s="8" t="str">
        <f>"002865"</f>
        <v>002865</v>
      </c>
      <c r="P16" s="7">
        <v>43636</v>
      </c>
      <c r="Q16" s="10">
        <v>22.955369999999998</v>
      </c>
      <c r="R16" s="10">
        <v>2.8266399999999998</v>
      </c>
      <c r="S16" s="10">
        <v>20.128730000000001</v>
      </c>
      <c r="T16" s="8">
        <v>81</v>
      </c>
      <c r="U16" s="7">
        <v>43629</v>
      </c>
      <c r="V16" s="8">
        <v>9900333496</v>
      </c>
      <c r="W16" s="9" t="s">
        <v>44</v>
      </c>
      <c r="X16" s="8" t="s">
        <v>35</v>
      </c>
      <c r="Y16" s="9" t="s">
        <v>36</v>
      </c>
      <c r="Z16" s="8" t="s">
        <v>47</v>
      </c>
      <c r="AA16" s="9" t="s">
        <v>48</v>
      </c>
      <c r="AB16" s="10">
        <v>0.22955369999999997</v>
      </c>
    </row>
    <row r="17" spans="1:28" s="4" customFormat="1" ht="13" x14ac:dyDescent="0.3">
      <c r="A17" s="5">
        <v>1531</v>
      </c>
      <c r="B17" s="6" t="s">
        <v>31</v>
      </c>
      <c r="C17" s="7">
        <v>43629</v>
      </c>
      <c r="D17" s="8">
        <v>44</v>
      </c>
      <c r="E17" s="9" t="s">
        <v>55</v>
      </c>
      <c r="F17" s="8" t="s">
        <v>73</v>
      </c>
      <c r="G17" s="9" t="s">
        <v>74</v>
      </c>
      <c r="H17" s="8" t="str">
        <f>"000003"</f>
        <v>000003</v>
      </c>
      <c r="I17" s="7">
        <v>43581</v>
      </c>
      <c r="J17" s="8" t="str">
        <f>"000004"</f>
        <v>000004</v>
      </c>
      <c r="K17" s="7">
        <v>43581</v>
      </c>
      <c r="L17" s="8" t="str">
        <f>"000005"</f>
        <v>000005</v>
      </c>
      <c r="M17" s="7">
        <v>43582</v>
      </c>
      <c r="N17" s="8">
        <v>19</v>
      </c>
      <c r="O17" s="8" t="str">
        <f>"002555"</f>
        <v>002555</v>
      </c>
      <c r="P17" s="7">
        <v>43626</v>
      </c>
      <c r="Q17" s="10">
        <v>18.382750000000001</v>
      </c>
      <c r="R17" s="10">
        <v>2.16459</v>
      </c>
      <c r="S17" s="10">
        <v>16.218160000000001</v>
      </c>
      <c r="T17" s="8">
        <v>81</v>
      </c>
      <c r="U17" s="7">
        <v>43629</v>
      </c>
      <c r="V17" s="8">
        <v>9900333496</v>
      </c>
      <c r="W17" s="9" t="s">
        <v>44</v>
      </c>
      <c r="X17" s="8" t="s">
        <v>37</v>
      </c>
      <c r="Y17" s="9" t="s">
        <v>38</v>
      </c>
      <c r="Z17" s="8" t="s">
        <v>47</v>
      </c>
      <c r="AA17" s="9" t="s">
        <v>48</v>
      </c>
      <c r="AB17" s="10">
        <v>0.1838275</v>
      </c>
    </row>
    <row r="18" spans="1:28" s="4" customFormat="1" ht="13" x14ac:dyDescent="0.3">
      <c r="A18" s="5">
        <v>1532</v>
      </c>
      <c r="B18" s="6" t="s">
        <v>31</v>
      </c>
      <c r="C18" s="7">
        <v>43629</v>
      </c>
      <c r="D18" s="8">
        <v>44</v>
      </c>
      <c r="E18" s="9" t="s">
        <v>55</v>
      </c>
      <c r="F18" s="8" t="s">
        <v>73</v>
      </c>
      <c r="G18" s="9" t="s">
        <v>74</v>
      </c>
      <c r="H18" s="8" t="str">
        <f>"000003"</f>
        <v>000003</v>
      </c>
      <c r="I18" s="7">
        <v>43581</v>
      </c>
      <c r="J18" s="8" t="str">
        <f>"000004"</f>
        <v>000004</v>
      </c>
      <c r="K18" s="7">
        <v>43581</v>
      </c>
      <c r="L18" s="8" t="str">
        <f>"000005"</f>
        <v>000005</v>
      </c>
      <c r="M18" s="7">
        <v>43582</v>
      </c>
      <c r="N18" s="8">
        <v>19</v>
      </c>
      <c r="O18" s="8" t="str">
        <f>"002555"</f>
        <v>002555</v>
      </c>
      <c r="P18" s="7">
        <v>43626</v>
      </c>
      <c r="Q18" s="10">
        <v>17.424769999999999</v>
      </c>
      <c r="R18" s="10">
        <v>2.0318800000000001</v>
      </c>
      <c r="S18" s="10">
        <v>15.39289</v>
      </c>
      <c r="T18" s="8">
        <v>81</v>
      </c>
      <c r="U18" s="7">
        <v>43629</v>
      </c>
      <c r="V18" s="8">
        <v>9900333496</v>
      </c>
      <c r="W18" s="9" t="s">
        <v>44</v>
      </c>
      <c r="X18" s="8" t="s">
        <v>37</v>
      </c>
      <c r="Y18" s="9" t="s">
        <v>38</v>
      </c>
      <c r="Z18" s="8" t="s">
        <v>47</v>
      </c>
      <c r="AA18" s="9" t="s">
        <v>48</v>
      </c>
      <c r="AB18" s="10">
        <v>0.17424769999999998</v>
      </c>
    </row>
    <row r="19" spans="1:28" s="4" customFormat="1" ht="13" x14ac:dyDescent="0.3">
      <c r="A19" s="5">
        <v>1533</v>
      </c>
      <c r="B19" s="6" t="s">
        <v>31</v>
      </c>
      <c r="C19" s="7">
        <v>43629</v>
      </c>
      <c r="D19" s="8">
        <v>44</v>
      </c>
      <c r="E19" s="9" t="s">
        <v>55</v>
      </c>
      <c r="F19" s="8" t="s">
        <v>77</v>
      </c>
      <c r="G19" s="9" t="s">
        <v>78</v>
      </c>
      <c r="H19" s="8" t="str">
        <f>"000002"</f>
        <v>000002</v>
      </c>
      <c r="I19" s="7">
        <v>43581</v>
      </c>
      <c r="J19" s="8" t="str">
        <f>"000035"</f>
        <v>000035</v>
      </c>
      <c r="K19" s="7">
        <v>43595</v>
      </c>
      <c r="L19" s="8" t="str">
        <f>"000047"</f>
        <v>000047</v>
      </c>
      <c r="M19" s="7">
        <v>43598</v>
      </c>
      <c r="N19" s="8">
        <v>19</v>
      </c>
      <c r="O19" s="8" t="str">
        <f>"002861"</f>
        <v>002861</v>
      </c>
      <c r="P19" s="7">
        <v>43636</v>
      </c>
      <c r="Q19" s="10">
        <v>13.8688</v>
      </c>
      <c r="R19" s="10">
        <v>1.6097300000000001</v>
      </c>
      <c r="S19" s="10">
        <v>12.259069999999999</v>
      </c>
      <c r="T19" s="8">
        <v>81</v>
      </c>
      <c r="U19" s="7">
        <v>43629</v>
      </c>
      <c r="V19" s="8">
        <v>9900333496</v>
      </c>
      <c r="W19" s="9" t="s">
        <v>44</v>
      </c>
      <c r="X19" s="8" t="s">
        <v>37</v>
      </c>
      <c r="Y19" s="9" t="s">
        <v>38</v>
      </c>
      <c r="Z19" s="8" t="s">
        <v>47</v>
      </c>
      <c r="AA19" s="9" t="s">
        <v>48</v>
      </c>
      <c r="AB19" s="10">
        <v>0.13868800000000001</v>
      </c>
    </row>
    <row r="20" spans="1:28" s="4" customFormat="1" ht="13" x14ac:dyDescent="0.3">
      <c r="A20" s="5">
        <v>1534</v>
      </c>
      <c r="B20" s="6" t="s">
        <v>31</v>
      </c>
      <c r="C20" s="7">
        <v>43629</v>
      </c>
      <c r="D20" s="8">
        <v>44</v>
      </c>
      <c r="E20" s="9" t="s">
        <v>55</v>
      </c>
      <c r="F20" s="8" t="s">
        <v>75</v>
      </c>
      <c r="G20" s="9" t="s">
        <v>76</v>
      </c>
      <c r="H20" s="8" t="str">
        <f>"000314"</f>
        <v>000314</v>
      </c>
      <c r="I20" s="7">
        <v>43526</v>
      </c>
      <c r="J20" s="8" t="str">
        <f>"000027"</f>
        <v>000027</v>
      </c>
      <c r="K20" s="7">
        <v>43594</v>
      </c>
      <c r="L20" s="8" t="str">
        <f>"000040"</f>
        <v>000040</v>
      </c>
      <c r="M20" s="7">
        <v>43594</v>
      </c>
      <c r="N20" s="8">
        <v>19</v>
      </c>
      <c r="O20" s="8" t="str">
        <f>"002865"</f>
        <v>002865</v>
      </c>
      <c r="P20" s="7">
        <v>43636</v>
      </c>
      <c r="Q20" s="10">
        <v>19.991520000000001</v>
      </c>
      <c r="R20" s="10">
        <v>2.3646600000000002</v>
      </c>
      <c r="S20" s="10">
        <v>17.626860000000001</v>
      </c>
      <c r="T20" s="8">
        <v>81</v>
      </c>
      <c r="U20" s="7">
        <v>43629</v>
      </c>
      <c r="V20" s="8">
        <v>9900333496</v>
      </c>
      <c r="W20" s="9" t="s">
        <v>44</v>
      </c>
      <c r="X20" s="8" t="s">
        <v>35</v>
      </c>
      <c r="Y20" s="9" t="s">
        <v>36</v>
      </c>
      <c r="Z20" s="8" t="s">
        <v>47</v>
      </c>
      <c r="AA20" s="9" t="s">
        <v>48</v>
      </c>
      <c r="AB20" s="10">
        <v>0.19991520000000002</v>
      </c>
    </row>
    <row r="21" spans="1:28" s="4" customFormat="1" ht="13" x14ac:dyDescent="0.3">
      <c r="A21" s="5">
        <v>1535</v>
      </c>
      <c r="B21" s="6" t="s">
        <v>31</v>
      </c>
      <c r="C21" s="7">
        <v>43629</v>
      </c>
      <c r="D21" s="8">
        <v>44</v>
      </c>
      <c r="E21" s="9" t="s">
        <v>55</v>
      </c>
      <c r="F21" s="8" t="s">
        <v>77</v>
      </c>
      <c r="G21" s="9" t="s">
        <v>78</v>
      </c>
      <c r="H21" s="8" t="str">
        <f>"000002"</f>
        <v>000002</v>
      </c>
      <c r="I21" s="7">
        <v>43581</v>
      </c>
      <c r="J21" s="8" t="str">
        <f>"000035"</f>
        <v>000035</v>
      </c>
      <c r="K21" s="7">
        <v>43595</v>
      </c>
      <c r="L21" s="8" t="str">
        <f>"000047"</f>
        <v>000047</v>
      </c>
      <c r="M21" s="7">
        <v>43598</v>
      </c>
      <c r="N21" s="8">
        <v>19</v>
      </c>
      <c r="O21" s="8" t="str">
        <f>"002861"</f>
        <v>002861</v>
      </c>
      <c r="P21" s="7">
        <v>43636</v>
      </c>
      <c r="Q21" s="10">
        <v>12.16947</v>
      </c>
      <c r="R21" s="10">
        <v>1.42099</v>
      </c>
      <c r="S21" s="10">
        <v>10.748480000000001</v>
      </c>
      <c r="T21" s="8">
        <v>81</v>
      </c>
      <c r="U21" s="7">
        <v>43629</v>
      </c>
      <c r="V21" s="8">
        <v>9900333496</v>
      </c>
      <c r="W21" s="9" t="s">
        <v>44</v>
      </c>
      <c r="X21" s="8" t="s">
        <v>37</v>
      </c>
      <c r="Y21" s="9" t="s">
        <v>38</v>
      </c>
      <c r="Z21" s="8" t="s">
        <v>47</v>
      </c>
      <c r="AA21" s="9" t="s">
        <v>48</v>
      </c>
      <c r="AB21" s="10">
        <v>0.1216947</v>
      </c>
    </row>
    <row r="22" spans="1:28" s="4" customFormat="1" ht="13" x14ac:dyDescent="0.3">
      <c r="A22" s="5">
        <v>1536</v>
      </c>
      <c r="B22" s="6" t="s">
        <v>31</v>
      </c>
      <c r="C22" s="7">
        <v>43629</v>
      </c>
      <c r="D22" s="8">
        <v>44</v>
      </c>
      <c r="E22" s="9" t="s">
        <v>55</v>
      </c>
      <c r="F22" s="8" t="s">
        <v>77</v>
      </c>
      <c r="G22" s="9" t="s">
        <v>78</v>
      </c>
      <c r="H22" s="8" t="str">
        <f>"000002"</f>
        <v>000002</v>
      </c>
      <c r="I22" s="7">
        <v>43581</v>
      </c>
      <c r="J22" s="8" t="str">
        <f>"000035"</f>
        <v>000035</v>
      </c>
      <c r="K22" s="7">
        <v>43595</v>
      </c>
      <c r="L22" s="8" t="str">
        <f>"000047"</f>
        <v>000047</v>
      </c>
      <c r="M22" s="7">
        <v>43598</v>
      </c>
      <c r="N22" s="8">
        <v>19</v>
      </c>
      <c r="O22" s="8" t="str">
        <f>"002861"</f>
        <v>002861</v>
      </c>
      <c r="P22" s="7">
        <v>43636</v>
      </c>
      <c r="Q22" s="10">
        <v>16.84545</v>
      </c>
      <c r="R22" s="10">
        <v>1.9547600000000001</v>
      </c>
      <c r="S22" s="10">
        <v>14.890689999999999</v>
      </c>
      <c r="T22" s="8">
        <v>81</v>
      </c>
      <c r="U22" s="7">
        <v>43629</v>
      </c>
      <c r="V22" s="8">
        <v>9900333496</v>
      </c>
      <c r="W22" s="9" t="s">
        <v>44</v>
      </c>
      <c r="X22" s="8" t="s">
        <v>37</v>
      </c>
      <c r="Y22" s="9" t="s">
        <v>38</v>
      </c>
      <c r="Z22" s="8" t="s">
        <v>47</v>
      </c>
      <c r="AA22" s="9" t="s">
        <v>48</v>
      </c>
      <c r="AB22" s="10">
        <v>0.16845450000000001</v>
      </c>
    </row>
    <row r="23" spans="1:28" s="4" customFormat="1" ht="13" x14ac:dyDescent="0.3">
      <c r="A23" s="5">
        <v>1537</v>
      </c>
      <c r="B23" s="6" t="s">
        <v>31</v>
      </c>
      <c r="C23" s="7">
        <v>43634</v>
      </c>
      <c r="D23" s="8">
        <v>44</v>
      </c>
      <c r="E23" s="9" t="s">
        <v>55</v>
      </c>
      <c r="F23" s="8" t="s">
        <v>79</v>
      </c>
      <c r="G23" s="9" t="s">
        <v>80</v>
      </c>
      <c r="H23" s="8" t="str">
        <f>"000111"</f>
        <v>000111</v>
      </c>
      <c r="I23" s="7">
        <v>41950</v>
      </c>
      <c r="J23" s="8" t="str">
        <f>"000118"</f>
        <v>000118</v>
      </c>
      <c r="K23" s="7">
        <v>43099</v>
      </c>
      <c r="L23" s="8" t="str">
        <f>"000156"</f>
        <v>000156</v>
      </c>
      <c r="M23" s="7">
        <v>43099</v>
      </c>
      <c r="N23" s="8">
        <v>12</v>
      </c>
      <c r="O23" s="8" t="str">
        <f>"002675"</f>
        <v>002675</v>
      </c>
      <c r="P23" s="7">
        <v>43628</v>
      </c>
      <c r="Q23" s="10">
        <v>8.4883199999999999</v>
      </c>
      <c r="R23" s="10">
        <v>1.1003400000000001</v>
      </c>
      <c r="S23" s="10">
        <v>7.3879799999999998</v>
      </c>
      <c r="T23" s="8">
        <v>88</v>
      </c>
      <c r="U23" s="7">
        <v>43634</v>
      </c>
      <c r="V23" s="8">
        <v>0</v>
      </c>
      <c r="W23" s="9" t="s">
        <v>81</v>
      </c>
      <c r="X23" s="8" t="s">
        <v>32</v>
      </c>
      <c r="Y23" s="9" t="s">
        <v>33</v>
      </c>
      <c r="Z23" s="8" t="s">
        <v>47</v>
      </c>
      <c r="AA23" s="9" t="s">
        <v>48</v>
      </c>
      <c r="AB23" s="10">
        <v>8.4883199999999992E-2</v>
      </c>
    </row>
    <row r="24" spans="1:28" s="4" customFormat="1" ht="13" x14ac:dyDescent="0.3">
      <c r="A24" s="5">
        <v>1538</v>
      </c>
      <c r="B24" s="6" t="s">
        <v>31</v>
      </c>
      <c r="C24" s="7">
        <v>43644</v>
      </c>
      <c r="D24" s="8">
        <v>44</v>
      </c>
      <c r="E24" s="9" t="s">
        <v>55</v>
      </c>
      <c r="F24" s="8" t="s">
        <v>77</v>
      </c>
      <c r="G24" s="9" t="s">
        <v>78</v>
      </c>
      <c r="H24" s="8" t="str">
        <f>"000002"</f>
        <v>000002</v>
      </c>
      <c r="I24" s="7">
        <v>43581</v>
      </c>
      <c r="J24" s="8" t="str">
        <f>"000035"</f>
        <v>000035</v>
      </c>
      <c r="K24" s="7">
        <v>43595</v>
      </c>
      <c r="L24" s="8" t="str">
        <f>"000047"</f>
        <v>000047</v>
      </c>
      <c r="M24" s="7">
        <v>43598</v>
      </c>
      <c r="N24" s="8">
        <v>19</v>
      </c>
      <c r="O24" s="8" t="str">
        <f>"002861"</f>
        <v>002861</v>
      </c>
      <c r="P24" s="7">
        <v>43636</v>
      </c>
      <c r="Q24" s="10">
        <v>11.803419999999999</v>
      </c>
      <c r="R24" s="10">
        <v>1.37588</v>
      </c>
      <c r="S24" s="10">
        <v>10.42754</v>
      </c>
      <c r="T24" s="8">
        <v>95</v>
      </c>
      <c r="U24" s="7">
        <v>43644</v>
      </c>
      <c r="V24" s="8">
        <v>9900333496</v>
      </c>
      <c r="W24" s="9" t="s">
        <v>44</v>
      </c>
      <c r="X24" s="8" t="s">
        <v>37</v>
      </c>
      <c r="Y24" s="9" t="s">
        <v>38</v>
      </c>
      <c r="Z24" s="8" t="s">
        <v>47</v>
      </c>
      <c r="AA24" s="9" t="s">
        <v>48</v>
      </c>
      <c r="AB24" s="10">
        <v>0.11803419999999999</v>
      </c>
    </row>
    <row r="25" spans="1:28" s="4" customFormat="1" ht="13" x14ac:dyDescent="0.3">
      <c r="A25" s="5">
        <v>1539</v>
      </c>
      <c r="B25" s="6" t="s">
        <v>31</v>
      </c>
      <c r="C25" s="7">
        <v>43644</v>
      </c>
      <c r="D25" s="8">
        <v>44</v>
      </c>
      <c r="E25" s="9" t="s">
        <v>55</v>
      </c>
      <c r="F25" s="8" t="s">
        <v>82</v>
      </c>
      <c r="G25" s="9" t="s">
        <v>83</v>
      </c>
      <c r="H25" s="8" t="str">
        <f>"000005"</f>
        <v>000005</v>
      </c>
      <c r="I25" s="7">
        <v>43588</v>
      </c>
      <c r="J25" s="8" t="str">
        <f>"000010"</f>
        <v>000010</v>
      </c>
      <c r="K25" s="7">
        <v>43588</v>
      </c>
      <c r="L25" s="8" t="str">
        <f>"000011"</f>
        <v>000011</v>
      </c>
      <c r="M25" s="7">
        <v>43588</v>
      </c>
      <c r="N25" s="8">
        <v>19</v>
      </c>
      <c r="O25" s="8" t="str">
        <f>"002862"</f>
        <v>002862</v>
      </c>
      <c r="P25" s="7">
        <v>43636</v>
      </c>
      <c r="Q25" s="10">
        <v>42.983429999999998</v>
      </c>
      <c r="R25" s="10">
        <v>5.2871899999999998</v>
      </c>
      <c r="S25" s="10">
        <v>37.696240000000003</v>
      </c>
      <c r="T25" s="8">
        <v>95</v>
      </c>
      <c r="U25" s="7">
        <v>43644</v>
      </c>
      <c r="V25" s="8">
        <v>9900333496</v>
      </c>
      <c r="W25" s="9" t="s">
        <v>44</v>
      </c>
      <c r="X25" s="8" t="s">
        <v>35</v>
      </c>
      <c r="Y25" s="9" t="s">
        <v>36</v>
      </c>
      <c r="Z25" s="8" t="s">
        <v>47</v>
      </c>
      <c r="AA25" s="9" t="s">
        <v>48</v>
      </c>
      <c r="AB25" s="10">
        <v>0.4298343</v>
      </c>
    </row>
    <row r="26" spans="1:28" s="4" customFormat="1" ht="13" x14ac:dyDescent="0.3">
      <c r="A26" s="5">
        <v>1540</v>
      </c>
      <c r="B26" s="6" t="s">
        <v>31</v>
      </c>
      <c r="C26" s="7">
        <v>43644</v>
      </c>
      <c r="D26" s="8">
        <v>44</v>
      </c>
      <c r="E26" s="9" t="s">
        <v>55</v>
      </c>
      <c r="F26" s="8" t="s">
        <v>75</v>
      </c>
      <c r="G26" s="9" t="s">
        <v>76</v>
      </c>
      <c r="H26" s="8" t="str">
        <f>"000314"</f>
        <v>000314</v>
      </c>
      <c r="I26" s="7">
        <v>43526</v>
      </c>
      <c r="J26" s="8" t="str">
        <f>"000027"</f>
        <v>000027</v>
      </c>
      <c r="K26" s="7">
        <v>43594</v>
      </c>
      <c r="L26" s="8" t="str">
        <f>"000040"</f>
        <v>000040</v>
      </c>
      <c r="M26" s="7">
        <v>43594</v>
      </c>
      <c r="N26" s="8">
        <v>19</v>
      </c>
      <c r="O26" s="8" t="str">
        <f>"002865"</f>
        <v>002865</v>
      </c>
      <c r="P26" s="7">
        <v>43636</v>
      </c>
      <c r="Q26" s="10">
        <v>32.39828</v>
      </c>
      <c r="R26" s="10">
        <v>3.8667699999999998</v>
      </c>
      <c r="S26" s="10">
        <v>28.531510000000001</v>
      </c>
      <c r="T26" s="8">
        <v>95</v>
      </c>
      <c r="U26" s="7">
        <v>43644</v>
      </c>
      <c r="V26" s="8">
        <v>9900333496</v>
      </c>
      <c r="W26" s="9" t="s">
        <v>44</v>
      </c>
      <c r="X26" s="8" t="s">
        <v>35</v>
      </c>
      <c r="Y26" s="9" t="s">
        <v>36</v>
      </c>
      <c r="Z26" s="8" t="s">
        <v>47</v>
      </c>
      <c r="AA26" s="9" t="s">
        <v>48</v>
      </c>
      <c r="AB26" s="10">
        <v>0.32398280000000002</v>
      </c>
    </row>
    <row r="27" spans="1:28" s="4" customFormat="1" ht="13" x14ac:dyDescent="0.3">
      <c r="A27" s="5">
        <v>1541</v>
      </c>
      <c r="B27" s="6" t="s">
        <v>31</v>
      </c>
      <c r="C27" s="7">
        <v>43644</v>
      </c>
      <c r="D27" s="8">
        <v>44</v>
      </c>
      <c r="E27" s="9" t="s">
        <v>55</v>
      </c>
      <c r="F27" s="8" t="s">
        <v>84</v>
      </c>
      <c r="G27" s="9" t="s">
        <v>85</v>
      </c>
      <c r="H27" s="8" t="str">
        <f>"000316"</f>
        <v>000316</v>
      </c>
      <c r="I27" s="7">
        <v>43526</v>
      </c>
      <c r="J27" s="8" t="str">
        <f>"000008"</f>
        <v>000008</v>
      </c>
      <c r="K27" s="7">
        <v>43588</v>
      </c>
      <c r="L27" s="8" t="str">
        <f>"000013"</f>
        <v>000013</v>
      </c>
      <c r="M27" s="7">
        <v>43588</v>
      </c>
      <c r="N27" s="8">
        <v>19</v>
      </c>
      <c r="O27" s="8" t="str">
        <f>"002864"</f>
        <v>002864</v>
      </c>
      <c r="P27" s="7">
        <v>43636</v>
      </c>
      <c r="Q27" s="10">
        <v>20.350760000000001</v>
      </c>
      <c r="R27" s="10">
        <v>2.52088</v>
      </c>
      <c r="S27" s="10">
        <v>17.829879999999999</v>
      </c>
      <c r="T27" s="8">
        <v>95</v>
      </c>
      <c r="U27" s="7">
        <v>43644</v>
      </c>
      <c r="V27" s="8">
        <v>9900333496</v>
      </c>
      <c r="W27" s="9" t="s">
        <v>44</v>
      </c>
      <c r="X27" s="8" t="s">
        <v>37</v>
      </c>
      <c r="Y27" s="9" t="s">
        <v>38</v>
      </c>
      <c r="Z27" s="8" t="s">
        <v>47</v>
      </c>
      <c r="AA27" s="9" t="s">
        <v>48</v>
      </c>
      <c r="AB27" s="10">
        <v>0.20350760000000001</v>
      </c>
    </row>
    <row r="28" spans="1:28" s="4" customFormat="1" ht="13" x14ac:dyDescent="0.3">
      <c r="A28" s="5">
        <v>1542</v>
      </c>
      <c r="B28" s="6" t="s">
        <v>31</v>
      </c>
      <c r="C28" s="7">
        <v>43644</v>
      </c>
      <c r="D28" s="8">
        <v>44</v>
      </c>
      <c r="E28" s="9" t="s">
        <v>55</v>
      </c>
      <c r="F28" s="8" t="s">
        <v>75</v>
      </c>
      <c r="G28" s="9" t="s">
        <v>76</v>
      </c>
      <c r="H28" s="8" t="str">
        <f>"000314"</f>
        <v>000314</v>
      </c>
      <c r="I28" s="7">
        <v>43526</v>
      </c>
      <c r="J28" s="8" t="str">
        <f>"000027"</f>
        <v>000027</v>
      </c>
      <c r="K28" s="7">
        <v>43594</v>
      </c>
      <c r="L28" s="8" t="str">
        <f>"000040"</f>
        <v>000040</v>
      </c>
      <c r="M28" s="7">
        <v>43594</v>
      </c>
      <c r="N28" s="8">
        <v>19</v>
      </c>
      <c r="O28" s="8" t="str">
        <f>"002865"</f>
        <v>002865</v>
      </c>
      <c r="P28" s="7">
        <v>43636</v>
      </c>
      <c r="Q28" s="10">
        <v>8.9186599999999991</v>
      </c>
      <c r="R28" s="10">
        <v>1.0232699999999999</v>
      </c>
      <c r="S28" s="10">
        <v>7.8953899999999999</v>
      </c>
      <c r="T28" s="8">
        <v>95</v>
      </c>
      <c r="U28" s="7">
        <v>43644</v>
      </c>
      <c r="V28" s="8">
        <v>9900333496</v>
      </c>
      <c r="W28" s="9" t="s">
        <v>44</v>
      </c>
      <c r="X28" s="8" t="s">
        <v>35</v>
      </c>
      <c r="Y28" s="9" t="s">
        <v>36</v>
      </c>
      <c r="Z28" s="8" t="s">
        <v>47</v>
      </c>
      <c r="AA28" s="9" t="s">
        <v>48</v>
      </c>
      <c r="AB28" s="10">
        <v>8.9186599999999991E-2</v>
      </c>
    </row>
    <row r="29" spans="1:28" s="4" customFormat="1" ht="13" x14ac:dyDescent="0.3">
      <c r="A29" s="5">
        <v>1543</v>
      </c>
      <c r="B29" s="6" t="s">
        <v>132</v>
      </c>
      <c r="C29" s="7">
        <v>43663</v>
      </c>
      <c r="D29" s="8">
        <v>44</v>
      </c>
      <c r="E29" s="9" t="s">
        <v>55</v>
      </c>
      <c r="F29" s="8" t="s">
        <v>140</v>
      </c>
      <c r="G29" s="11" t="s">
        <v>139</v>
      </c>
      <c r="H29" s="8" t="str">
        <f>"000212"</f>
        <v>000212</v>
      </c>
      <c r="I29" s="7">
        <v>43150</v>
      </c>
      <c r="J29" s="8" t="str">
        <f>"000163"</f>
        <v>000163</v>
      </c>
      <c r="K29" s="7">
        <v>43179</v>
      </c>
      <c r="L29" s="8" t="str">
        <f>"000272"</f>
        <v>000272</v>
      </c>
      <c r="M29" s="7">
        <v>43180</v>
      </c>
      <c r="N29" s="8">
        <v>18</v>
      </c>
      <c r="O29" s="8" t="str">
        <f>"003414"</f>
        <v>003414</v>
      </c>
      <c r="P29" s="7">
        <v>43661</v>
      </c>
      <c r="Q29" s="12">
        <v>50</v>
      </c>
      <c r="R29" s="12">
        <v>5.96258</v>
      </c>
      <c r="S29" s="12">
        <v>44.037419999999997</v>
      </c>
      <c r="T29" s="8">
        <v>113</v>
      </c>
      <c r="U29" s="7">
        <v>43663</v>
      </c>
      <c r="V29" s="8">
        <v>9900333496</v>
      </c>
      <c r="W29" s="11" t="s">
        <v>44</v>
      </c>
      <c r="X29" s="8" t="s">
        <v>113</v>
      </c>
      <c r="Y29" s="11" t="s">
        <v>112</v>
      </c>
      <c r="Z29" s="8" t="s">
        <v>47</v>
      </c>
      <c r="AA29" s="11" t="s">
        <v>48</v>
      </c>
      <c r="AB29" s="12">
        <f t="shared" ref="AB29:AB44" si="1">Q29/100</f>
        <v>0.5</v>
      </c>
    </row>
    <row r="30" spans="1:28" s="4" customFormat="1" ht="13" x14ac:dyDescent="0.3">
      <c r="A30" s="5">
        <v>1544</v>
      </c>
      <c r="B30" s="6" t="s">
        <v>132</v>
      </c>
      <c r="C30" s="7">
        <v>43663</v>
      </c>
      <c r="D30" s="8">
        <v>44</v>
      </c>
      <c r="E30" s="9" t="s">
        <v>55</v>
      </c>
      <c r="F30" s="8" t="s">
        <v>138</v>
      </c>
      <c r="G30" s="11" t="s">
        <v>137</v>
      </c>
      <c r="H30" s="8" t="str">
        <f>"000210"</f>
        <v>000210</v>
      </c>
      <c r="I30" s="7">
        <v>43150</v>
      </c>
      <c r="J30" s="8" t="str">
        <f>"000162"</f>
        <v>000162</v>
      </c>
      <c r="K30" s="7">
        <v>43179</v>
      </c>
      <c r="L30" s="8" t="str">
        <f>"000273"</f>
        <v>000273</v>
      </c>
      <c r="M30" s="7">
        <v>43180</v>
      </c>
      <c r="N30" s="8">
        <v>18</v>
      </c>
      <c r="O30" s="8" t="str">
        <f>"003415"</f>
        <v>003415</v>
      </c>
      <c r="P30" s="7">
        <v>43661</v>
      </c>
      <c r="Q30" s="12">
        <v>44.997250000000001</v>
      </c>
      <c r="R30" s="12">
        <v>5.3204099999999999</v>
      </c>
      <c r="S30" s="12">
        <v>39.676839999999999</v>
      </c>
      <c r="T30" s="8">
        <v>113</v>
      </c>
      <c r="U30" s="7">
        <v>43663</v>
      </c>
      <c r="V30" s="8">
        <v>9900333496</v>
      </c>
      <c r="W30" s="11" t="s">
        <v>44</v>
      </c>
      <c r="X30" s="8" t="s">
        <v>113</v>
      </c>
      <c r="Y30" s="11" t="s">
        <v>112</v>
      </c>
      <c r="Z30" s="8" t="s">
        <v>47</v>
      </c>
      <c r="AA30" s="11" t="s">
        <v>48</v>
      </c>
      <c r="AB30" s="12">
        <f t="shared" si="1"/>
        <v>0.4499725</v>
      </c>
    </row>
    <row r="31" spans="1:28" s="4" customFormat="1" ht="13" x14ac:dyDescent="0.3">
      <c r="A31" s="5">
        <v>1545</v>
      </c>
      <c r="B31" s="6" t="s">
        <v>132</v>
      </c>
      <c r="C31" s="7">
        <v>43664</v>
      </c>
      <c r="D31" s="8">
        <v>44</v>
      </c>
      <c r="E31" s="9" t="s">
        <v>55</v>
      </c>
      <c r="F31" s="8" t="s">
        <v>136</v>
      </c>
      <c r="G31" s="11" t="s">
        <v>135</v>
      </c>
      <c r="H31" s="8" t="str">
        <f>"000024"</f>
        <v>000024</v>
      </c>
      <c r="I31" s="7">
        <v>43197</v>
      </c>
      <c r="J31" s="8" t="str">
        <f>"000092"</f>
        <v>000092</v>
      </c>
      <c r="K31" s="7">
        <v>43299</v>
      </c>
      <c r="L31" s="8" t="str">
        <f>"000180"</f>
        <v>000180</v>
      </c>
      <c r="M31" s="7">
        <v>43299</v>
      </c>
      <c r="N31" s="8">
        <v>17</v>
      </c>
      <c r="O31" s="8" t="str">
        <f>"003518"</f>
        <v>003518</v>
      </c>
      <c r="P31" s="7">
        <v>43663</v>
      </c>
      <c r="Q31" s="12">
        <v>29.698160000000001</v>
      </c>
      <c r="R31" s="12">
        <v>3.6297600000000001</v>
      </c>
      <c r="S31" s="12">
        <v>26.0684</v>
      </c>
      <c r="T31" s="8">
        <v>116</v>
      </c>
      <c r="U31" s="7">
        <v>43664</v>
      </c>
      <c r="V31" s="8">
        <v>9900333496</v>
      </c>
      <c r="W31" s="11" t="s">
        <v>39</v>
      </c>
      <c r="X31" s="8" t="s">
        <v>134</v>
      </c>
      <c r="Y31" s="11" t="s">
        <v>133</v>
      </c>
      <c r="Z31" s="8" t="s">
        <v>47</v>
      </c>
      <c r="AA31" s="11" t="s">
        <v>48</v>
      </c>
      <c r="AB31" s="12">
        <f t="shared" si="1"/>
        <v>0.29698160000000001</v>
      </c>
    </row>
    <row r="32" spans="1:28" s="4" customFormat="1" ht="13" x14ac:dyDescent="0.3">
      <c r="A32" s="5">
        <v>1546</v>
      </c>
      <c r="B32" s="6" t="s">
        <v>132</v>
      </c>
      <c r="C32" s="7">
        <v>43677</v>
      </c>
      <c r="D32" s="8">
        <v>44</v>
      </c>
      <c r="E32" s="9" t="s">
        <v>55</v>
      </c>
      <c r="F32" s="8" t="s">
        <v>131</v>
      </c>
      <c r="G32" s="11" t="s">
        <v>130</v>
      </c>
      <c r="H32" s="8" t="str">
        <f>"000123"</f>
        <v>000123</v>
      </c>
      <c r="I32" s="7">
        <v>42913</v>
      </c>
      <c r="J32" s="8" t="str">
        <f>"000138"</f>
        <v>000138</v>
      </c>
      <c r="K32" s="7">
        <v>43158</v>
      </c>
      <c r="L32" s="8" t="str">
        <f>"000226"</f>
        <v>000226</v>
      </c>
      <c r="M32" s="7">
        <v>43158</v>
      </c>
      <c r="N32" s="8">
        <v>17</v>
      </c>
      <c r="O32" s="8" t="str">
        <f>"003979"</f>
        <v>003979</v>
      </c>
      <c r="P32" s="7">
        <v>43670</v>
      </c>
      <c r="Q32" s="12">
        <v>49.452269999999999</v>
      </c>
      <c r="R32" s="12">
        <v>6.1131700000000002</v>
      </c>
      <c r="S32" s="12">
        <v>43.339100000000002</v>
      </c>
      <c r="T32" s="8">
        <v>135</v>
      </c>
      <c r="U32" s="7">
        <v>43677</v>
      </c>
      <c r="V32" s="8">
        <v>9900333496</v>
      </c>
      <c r="W32" s="11" t="s">
        <v>44</v>
      </c>
      <c r="X32" s="8" t="s">
        <v>53</v>
      </c>
      <c r="Y32" s="11" t="s">
        <v>54</v>
      </c>
      <c r="Z32" s="8" t="s">
        <v>47</v>
      </c>
      <c r="AA32" s="11" t="s">
        <v>48</v>
      </c>
      <c r="AB32" s="12">
        <f t="shared" si="1"/>
        <v>0.49452269999999998</v>
      </c>
    </row>
    <row r="33" spans="1:28" s="4" customFormat="1" ht="13" x14ac:dyDescent="0.3">
      <c r="A33" s="5">
        <v>1547</v>
      </c>
      <c r="B33" s="6" t="s">
        <v>121</v>
      </c>
      <c r="C33" s="7">
        <v>43696</v>
      </c>
      <c r="D33" s="8">
        <v>44</v>
      </c>
      <c r="E33" s="9" t="s">
        <v>55</v>
      </c>
      <c r="F33" s="8" t="s">
        <v>129</v>
      </c>
      <c r="G33" s="11" t="s">
        <v>128</v>
      </c>
      <c r="H33" s="8" t="str">
        <f>"000112"</f>
        <v>000112</v>
      </c>
      <c r="I33" s="7">
        <v>41950</v>
      </c>
      <c r="J33" s="8" t="str">
        <f>"000141"</f>
        <v>000141</v>
      </c>
      <c r="K33" s="7">
        <v>43167</v>
      </c>
      <c r="L33" s="8" t="str">
        <f>"000231"</f>
        <v>000231</v>
      </c>
      <c r="M33" s="7">
        <v>43167</v>
      </c>
      <c r="N33" s="8">
        <v>12</v>
      </c>
      <c r="O33" s="8" t="str">
        <f>"004346"</f>
        <v>004346</v>
      </c>
      <c r="P33" s="7">
        <v>43684</v>
      </c>
      <c r="Q33" s="12">
        <v>9.9544200000000007</v>
      </c>
      <c r="R33" s="12">
        <v>1.15822</v>
      </c>
      <c r="S33" s="12">
        <v>8.7962000000000007</v>
      </c>
      <c r="T33" s="8">
        <v>158</v>
      </c>
      <c r="U33" s="7">
        <v>43696</v>
      </c>
      <c r="V33" s="8">
        <v>0</v>
      </c>
      <c r="W33" s="11" t="s">
        <v>81</v>
      </c>
      <c r="X33" s="8" t="s">
        <v>32</v>
      </c>
      <c r="Y33" s="11" t="s">
        <v>33</v>
      </c>
      <c r="Z33" s="8" t="s">
        <v>47</v>
      </c>
      <c r="AA33" s="11" t="s">
        <v>48</v>
      </c>
      <c r="AB33" s="12">
        <f t="shared" si="1"/>
        <v>9.9544200000000013E-2</v>
      </c>
    </row>
    <row r="34" spans="1:28" s="4" customFormat="1" ht="13" x14ac:dyDescent="0.3">
      <c r="A34" s="5">
        <v>1548</v>
      </c>
      <c r="B34" s="6" t="s">
        <v>121</v>
      </c>
      <c r="C34" s="7">
        <v>43696</v>
      </c>
      <c r="D34" s="8">
        <v>44</v>
      </c>
      <c r="E34" s="9" t="s">
        <v>55</v>
      </c>
      <c r="F34" s="8" t="s">
        <v>127</v>
      </c>
      <c r="G34" s="11" t="s">
        <v>126</v>
      </c>
      <c r="H34" s="8" t="str">
        <f>"000191"</f>
        <v>000191</v>
      </c>
      <c r="I34" s="7">
        <v>43147</v>
      </c>
      <c r="J34" s="8" t="str">
        <f>"000151"</f>
        <v>000151</v>
      </c>
      <c r="K34" s="7">
        <v>43174</v>
      </c>
      <c r="L34" s="8" t="str">
        <f>"000255"</f>
        <v>000255</v>
      </c>
      <c r="M34" s="7">
        <v>43174</v>
      </c>
      <c r="N34" s="8">
        <v>18</v>
      </c>
      <c r="O34" s="8" t="str">
        <f>"004464"</f>
        <v>004464</v>
      </c>
      <c r="P34" s="7">
        <v>43691</v>
      </c>
      <c r="Q34" s="12">
        <v>49.774999999999999</v>
      </c>
      <c r="R34" s="12">
        <v>6.3759600000000001</v>
      </c>
      <c r="S34" s="12">
        <v>43.399039999999999</v>
      </c>
      <c r="T34" s="8">
        <v>158</v>
      </c>
      <c r="U34" s="7">
        <v>43696</v>
      </c>
      <c r="V34" s="8">
        <v>9900333496</v>
      </c>
      <c r="W34" s="11" t="s">
        <v>44</v>
      </c>
      <c r="X34" s="8" t="s">
        <v>113</v>
      </c>
      <c r="Y34" s="11" t="s">
        <v>112</v>
      </c>
      <c r="Z34" s="8" t="s">
        <v>47</v>
      </c>
      <c r="AA34" s="11" t="s">
        <v>48</v>
      </c>
      <c r="AB34" s="12">
        <f t="shared" si="1"/>
        <v>0.49774999999999997</v>
      </c>
    </row>
    <row r="35" spans="1:28" s="4" customFormat="1" ht="13" x14ac:dyDescent="0.3">
      <c r="A35" s="5">
        <v>1549</v>
      </c>
      <c r="B35" s="6" t="s">
        <v>121</v>
      </c>
      <c r="C35" s="7">
        <v>43705</v>
      </c>
      <c r="D35" s="8">
        <v>44</v>
      </c>
      <c r="E35" s="9" t="s">
        <v>55</v>
      </c>
      <c r="F35" s="8" t="s">
        <v>125</v>
      </c>
      <c r="G35" s="11" t="s">
        <v>124</v>
      </c>
      <c r="H35" s="8" t="str">
        <f>"000274"</f>
        <v>000274</v>
      </c>
      <c r="I35" s="7">
        <v>43522</v>
      </c>
      <c r="J35" s="8" t="str">
        <f>"000044"</f>
        <v>000044</v>
      </c>
      <c r="K35" s="7">
        <v>43601</v>
      </c>
      <c r="L35" s="8" t="str">
        <f>"000065"</f>
        <v>000065</v>
      </c>
      <c r="M35" s="7">
        <v>43601</v>
      </c>
      <c r="N35" s="8">
        <v>19</v>
      </c>
      <c r="O35" s="8" t="str">
        <f>"004781"</f>
        <v>004781</v>
      </c>
      <c r="P35" s="7">
        <v>43704</v>
      </c>
      <c r="Q35" s="12">
        <v>53.533099999999997</v>
      </c>
      <c r="R35" s="12">
        <v>6.4431099999999999</v>
      </c>
      <c r="S35" s="12">
        <v>47.08999</v>
      </c>
      <c r="T35" s="8">
        <v>170</v>
      </c>
      <c r="U35" s="7">
        <v>43705</v>
      </c>
      <c r="V35" s="8">
        <v>9900333496</v>
      </c>
      <c r="W35" s="11" t="s">
        <v>44</v>
      </c>
      <c r="X35" s="8" t="s">
        <v>35</v>
      </c>
      <c r="Y35" s="11" t="s">
        <v>36</v>
      </c>
      <c r="Z35" s="8" t="s">
        <v>47</v>
      </c>
      <c r="AA35" s="11" t="s">
        <v>48</v>
      </c>
      <c r="AB35" s="12">
        <f t="shared" si="1"/>
        <v>0.535331</v>
      </c>
    </row>
    <row r="36" spans="1:28" s="4" customFormat="1" ht="13" x14ac:dyDescent="0.3">
      <c r="A36" s="5">
        <v>1550</v>
      </c>
      <c r="B36" s="6" t="s">
        <v>121</v>
      </c>
      <c r="C36" s="7">
        <v>43705</v>
      </c>
      <c r="D36" s="8">
        <v>44</v>
      </c>
      <c r="E36" s="9" t="s">
        <v>55</v>
      </c>
      <c r="F36" s="8" t="s">
        <v>123</v>
      </c>
      <c r="G36" s="11" t="s">
        <v>122</v>
      </c>
      <c r="H36" s="8" t="str">
        <f>"000275"</f>
        <v>000275</v>
      </c>
      <c r="I36" s="7">
        <v>43522</v>
      </c>
      <c r="J36" s="8" t="str">
        <f>"000045"</f>
        <v>000045</v>
      </c>
      <c r="K36" s="7">
        <v>43601</v>
      </c>
      <c r="L36" s="8" t="str">
        <f>"000064"</f>
        <v>000064</v>
      </c>
      <c r="M36" s="7">
        <v>43601</v>
      </c>
      <c r="N36" s="8">
        <v>19</v>
      </c>
      <c r="O36" s="8" t="str">
        <f>"004801"</f>
        <v>004801</v>
      </c>
      <c r="P36" s="7">
        <v>43704</v>
      </c>
      <c r="Q36" s="12">
        <v>99.153220000000005</v>
      </c>
      <c r="R36" s="12">
        <v>11.87323</v>
      </c>
      <c r="S36" s="12">
        <v>87.279989999999998</v>
      </c>
      <c r="T36" s="8">
        <v>170</v>
      </c>
      <c r="U36" s="7">
        <v>43705</v>
      </c>
      <c r="V36" s="8">
        <v>9900333496</v>
      </c>
      <c r="W36" s="11" t="s">
        <v>44</v>
      </c>
      <c r="X36" s="8" t="s">
        <v>35</v>
      </c>
      <c r="Y36" s="11" t="s">
        <v>36</v>
      </c>
      <c r="Z36" s="8" t="s">
        <v>47</v>
      </c>
      <c r="AA36" s="11" t="s">
        <v>48</v>
      </c>
      <c r="AB36" s="12">
        <f t="shared" si="1"/>
        <v>0.99153220000000009</v>
      </c>
    </row>
    <row r="37" spans="1:28" s="4" customFormat="1" ht="13" x14ac:dyDescent="0.3">
      <c r="A37" s="5">
        <v>1551</v>
      </c>
      <c r="B37" s="6" t="s">
        <v>121</v>
      </c>
      <c r="C37" s="7">
        <v>43705</v>
      </c>
      <c r="D37" s="8">
        <v>44</v>
      </c>
      <c r="E37" s="9" t="s">
        <v>55</v>
      </c>
      <c r="F37" s="8" t="s">
        <v>84</v>
      </c>
      <c r="G37" s="11" t="s">
        <v>120</v>
      </c>
      <c r="H37" s="8" t="str">
        <f>"000196"</f>
        <v>000196</v>
      </c>
      <c r="I37" s="7">
        <v>43456</v>
      </c>
      <c r="J37" s="8" t="str">
        <f>"000139"</f>
        <v>000139</v>
      </c>
      <c r="K37" s="7">
        <v>43703</v>
      </c>
      <c r="L37" s="8" t="str">
        <f>"000227"</f>
        <v>000227</v>
      </c>
      <c r="M37" s="7">
        <v>43717</v>
      </c>
      <c r="N37" s="8">
        <v>19</v>
      </c>
      <c r="O37" s="8" t="str">
        <f>""</f>
        <v/>
      </c>
      <c r="P37" s="8"/>
      <c r="Q37" s="12">
        <v>28.644850000000002</v>
      </c>
      <c r="R37" s="12">
        <v>3.6629999999999998</v>
      </c>
      <c r="S37" s="12">
        <v>24.981850000000001</v>
      </c>
      <c r="T37" s="8">
        <v>170</v>
      </c>
      <c r="U37" s="7">
        <v>43705</v>
      </c>
      <c r="V37" s="8">
        <v>9900333496</v>
      </c>
      <c r="W37" s="11" t="s">
        <v>44</v>
      </c>
      <c r="X37" s="8" t="s">
        <v>37</v>
      </c>
      <c r="Y37" s="11" t="s">
        <v>38</v>
      </c>
      <c r="Z37" s="8" t="s">
        <v>47</v>
      </c>
      <c r="AA37" s="11" t="s">
        <v>48</v>
      </c>
      <c r="AB37" s="12">
        <f t="shared" si="1"/>
        <v>0.28644849999999999</v>
      </c>
    </row>
    <row r="38" spans="1:28" s="4" customFormat="1" ht="13" x14ac:dyDescent="0.3">
      <c r="A38" s="5">
        <v>1552</v>
      </c>
      <c r="B38" s="6" t="s">
        <v>102</v>
      </c>
      <c r="C38" s="7">
        <v>43714</v>
      </c>
      <c r="D38" s="8">
        <v>44</v>
      </c>
      <c r="E38" s="9" t="s">
        <v>55</v>
      </c>
      <c r="F38" s="8" t="s">
        <v>119</v>
      </c>
      <c r="G38" s="11" t="s">
        <v>118</v>
      </c>
      <c r="H38" s="8" t="str">
        <f>"000193"</f>
        <v>000193</v>
      </c>
      <c r="I38" s="7">
        <v>43147</v>
      </c>
      <c r="J38" s="8" t="str">
        <f>"000187"</f>
        <v>000187</v>
      </c>
      <c r="K38" s="7">
        <v>43185</v>
      </c>
      <c r="L38" s="8" t="str">
        <f>"000313"</f>
        <v>000313</v>
      </c>
      <c r="M38" s="7">
        <v>43190</v>
      </c>
      <c r="N38" s="8">
        <v>18</v>
      </c>
      <c r="O38" s="8" t="str">
        <f>"004697"</f>
        <v>004697</v>
      </c>
      <c r="P38" s="7">
        <v>43698</v>
      </c>
      <c r="Q38" s="12">
        <v>49.99494</v>
      </c>
      <c r="R38" s="12">
        <v>6.3422799999999997</v>
      </c>
      <c r="S38" s="12">
        <v>43.652659999999997</v>
      </c>
      <c r="T38" s="8">
        <v>175</v>
      </c>
      <c r="U38" s="7">
        <v>43714</v>
      </c>
      <c r="V38" s="8">
        <v>9900333496</v>
      </c>
      <c r="W38" s="11" t="s">
        <v>44</v>
      </c>
      <c r="X38" s="8" t="s">
        <v>113</v>
      </c>
      <c r="Y38" s="11" t="s">
        <v>112</v>
      </c>
      <c r="Z38" s="8" t="s">
        <v>47</v>
      </c>
      <c r="AA38" s="11" t="s">
        <v>48</v>
      </c>
      <c r="AB38" s="12">
        <f t="shared" si="1"/>
        <v>0.49994939999999999</v>
      </c>
    </row>
    <row r="39" spans="1:28" s="4" customFormat="1" ht="13" x14ac:dyDescent="0.3">
      <c r="A39" s="5">
        <v>1553</v>
      </c>
      <c r="B39" s="6" t="s">
        <v>102</v>
      </c>
      <c r="C39" s="7">
        <v>43714</v>
      </c>
      <c r="D39" s="8">
        <v>44</v>
      </c>
      <c r="E39" s="9" t="s">
        <v>55</v>
      </c>
      <c r="F39" s="8" t="s">
        <v>117</v>
      </c>
      <c r="G39" s="11" t="s">
        <v>116</v>
      </c>
      <c r="H39" s="8" t="str">
        <f>"000201"</f>
        <v>000201</v>
      </c>
      <c r="I39" s="7">
        <v>43147</v>
      </c>
      <c r="J39" s="8" t="str">
        <f>"000003"</f>
        <v>000003</v>
      </c>
      <c r="K39" s="7">
        <v>43192</v>
      </c>
      <c r="L39" s="8" t="str">
        <f>"000008"</f>
        <v>000008</v>
      </c>
      <c r="M39" s="7">
        <v>43193</v>
      </c>
      <c r="N39" s="8">
        <v>18</v>
      </c>
      <c r="O39" s="8" t="str">
        <f>"004843"</f>
        <v>004843</v>
      </c>
      <c r="P39" s="7">
        <v>43705</v>
      </c>
      <c r="Q39" s="12">
        <v>19.968530000000001</v>
      </c>
      <c r="R39" s="12">
        <v>2.5148299999999999</v>
      </c>
      <c r="S39" s="12">
        <v>17.453700000000001</v>
      </c>
      <c r="T39" s="8">
        <v>175</v>
      </c>
      <c r="U39" s="7">
        <v>43714</v>
      </c>
      <c r="V39" s="8">
        <v>9900333496</v>
      </c>
      <c r="W39" s="11" t="s">
        <v>44</v>
      </c>
      <c r="X39" s="8" t="s">
        <v>113</v>
      </c>
      <c r="Y39" s="11" t="s">
        <v>112</v>
      </c>
      <c r="Z39" s="8" t="s">
        <v>47</v>
      </c>
      <c r="AA39" s="11" t="s">
        <v>48</v>
      </c>
      <c r="AB39" s="12">
        <f t="shared" si="1"/>
        <v>0.19968530000000001</v>
      </c>
    </row>
    <row r="40" spans="1:28" s="4" customFormat="1" ht="13" x14ac:dyDescent="0.3">
      <c r="A40" s="5">
        <v>1554</v>
      </c>
      <c r="B40" s="6" t="s">
        <v>102</v>
      </c>
      <c r="C40" s="7">
        <v>43714</v>
      </c>
      <c r="D40" s="8">
        <v>44</v>
      </c>
      <c r="E40" s="9" t="s">
        <v>55</v>
      </c>
      <c r="F40" s="8" t="s">
        <v>115</v>
      </c>
      <c r="G40" s="11" t="s">
        <v>114</v>
      </c>
      <c r="H40" s="8" t="str">
        <f>"000203"</f>
        <v>000203</v>
      </c>
      <c r="I40" s="7">
        <v>43147</v>
      </c>
      <c r="J40" s="8" t="str">
        <f>"000004"</f>
        <v>000004</v>
      </c>
      <c r="K40" s="7">
        <v>43192</v>
      </c>
      <c r="L40" s="8" t="str">
        <f>"000009"</f>
        <v>000009</v>
      </c>
      <c r="M40" s="7">
        <v>43193</v>
      </c>
      <c r="N40" s="8">
        <v>18</v>
      </c>
      <c r="O40" s="8" t="str">
        <f>"004844"</f>
        <v>004844</v>
      </c>
      <c r="P40" s="7">
        <v>43705</v>
      </c>
      <c r="Q40" s="12">
        <v>24.994689999999999</v>
      </c>
      <c r="R40" s="12">
        <v>3.1553900000000001</v>
      </c>
      <c r="S40" s="12">
        <v>21.839300000000001</v>
      </c>
      <c r="T40" s="8">
        <v>175</v>
      </c>
      <c r="U40" s="7">
        <v>43714</v>
      </c>
      <c r="V40" s="8">
        <v>9900333496</v>
      </c>
      <c r="W40" s="11" t="s">
        <v>44</v>
      </c>
      <c r="X40" s="8" t="s">
        <v>113</v>
      </c>
      <c r="Y40" s="11" t="s">
        <v>112</v>
      </c>
      <c r="Z40" s="8" t="s">
        <v>47</v>
      </c>
      <c r="AA40" s="11" t="s">
        <v>48</v>
      </c>
      <c r="AB40" s="12">
        <f t="shared" si="1"/>
        <v>0.24994689999999997</v>
      </c>
    </row>
    <row r="41" spans="1:28" s="4" customFormat="1" ht="13" x14ac:dyDescent="0.3">
      <c r="A41" s="5">
        <v>1555</v>
      </c>
      <c r="B41" s="6" t="s">
        <v>102</v>
      </c>
      <c r="C41" s="7">
        <v>43719</v>
      </c>
      <c r="D41" s="8">
        <v>44</v>
      </c>
      <c r="E41" s="9" t="s">
        <v>55</v>
      </c>
      <c r="F41" s="8" t="s">
        <v>111</v>
      </c>
      <c r="G41" s="11" t="s">
        <v>110</v>
      </c>
      <c r="H41" s="8" t="str">
        <f>"000102"</f>
        <v>000102</v>
      </c>
      <c r="I41" s="7">
        <v>42544</v>
      </c>
      <c r="J41" s="8" t="str">
        <f>"000119"</f>
        <v>000119</v>
      </c>
      <c r="K41" s="7">
        <v>43319</v>
      </c>
      <c r="L41" s="8" t="str">
        <f>"000222"</f>
        <v>000222</v>
      </c>
      <c r="M41" s="7">
        <v>43320</v>
      </c>
      <c r="N41" s="8">
        <v>16</v>
      </c>
      <c r="O41" s="8" t="str">
        <f>"004906"</f>
        <v>004906</v>
      </c>
      <c r="P41" s="7">
        <v>43711</v>
      </c>
      <c r="Q41" s="12">
        <v>19.758420000000001</v>
      </c>
      <c r="R41" s="12">
        <v>2.69862</v>
      </c>
      <c r="S41" s="12">
        <v>17.059799999999999</v>
      </c>
      <c r="T41" s="8">
        <v>180</v>
      </c>
      <c r="U41" s="7">
        <v>43719</v>
      </c>
      <c r="V41" s="8">
        <v>9900333496</v>
      </c>
      <c r="W41" s="11" t="s">
        <v>44</v>
      </c>
      <c r="X41" s="8" t="s">
        <v>51</v>
      </c>
      <c r="Y41" s="11" t="s">
        <v>52</v>
      </c>
      <c r="Z41" s="8" t="s">
        <v>47</v>
      </c>
      <c r="AA41" s="11" t="s">
        <v>48</v>
      </c>
      <c r="AB41" s="12">
        <f t="shared" si="1"/>
        <v>0.19758420000000002</v>
      </c>
    </row>
    <row r="42" spans="1:28" s="4" customFormat="1" ht="13" x14ac:dyDescent="0.3">
      <c r="A42" s="5">
        <v>1556</v>
      </c>
      <c r="B42" s="6" t="s">
        <v>102</v>
      </c>
      <c r="C42" s="7">
        <v>43719</v>
      </c>
      <c r="D42" s="8">
        <v>44</v>
      </c>
      <c r="E42" s="9" t="s">
        <v>55</v>
      </c>
      <c r="F42" s="8" t="s">
        <v>109</v>
      </c>
      <c r="G42" s="11" t="s">
        <v>108</v>
      </c>
      <c r="H42" s="8" t="str">
        <f>"000327"</f>
        <v>000327</v>
      </c>
      <c r="I42" s="7">
        <v>43172</v>
      </c>
      <c r="J42" s="8" t="str">
        <f>"000032"</f>
        <v>000032</v>
      </c>
      <c r="K42" s="7">
        <v>43248</v>
      </c>
      <c r="L42" s="8" t="str">
        <f>"000059"</f>
        <v>000059</v>
      </c>
      <c r="M42" s="7">
        <v>43248</v>
      </c>
      <c r="N42" s="8">
        <v>17</v>
      </c>
      <c r="O42" s="8" t="str">
        <f>"004942"</f>
        <v>004942</v>
      </c>
      <c r="P42" s="7">
        <v>43717</v>
      </c>
      <c r="Q42" s="12">
        <v>19.96847</v>
      </c>
      <c r="R42" s="12">
        <v>2.35324</v>
      </c>
      <c r="S42" s="12">
        <v>17.61523</v>
      </c>
      <c r="T42" s="8">
        <v>180</v>
      </c>
      <c r="U42" s="7">
        <v>43719</v>
      </c>
      <c r="V42" s="8">
        <v>9900333496</v>
      </c>
      <c r="W42" s="11" t="s">
        <v>44</v>
      </c>
      <c r="X42" s="8" t="s">
        <v>32</v>
      </c>
      <c r="Y42" s="11" t="s">
        <v>33</v>
      </c>
      <c r="Z42" s="8" t="s">
        <v>47</v>
      </c>
      <c r="AA42" s="11" t="s">
        <v>48</v>
      </c>
      <c r="AB42" s="12">
        <f t="shared" si="1"/>
        <v>0.19968469999999999</v>
      </c>
    </row>
    <row r="43" spans="1:28" s="4" customFormat="1" ht="13" x14ac:dyDescent="0.3">
      <c r="A43" s="5">
        <v>1557</v>
      </c>
      <c r="B43" s="6" t="s">
        <v>102</v>
      </c>
      <c r="C43" s="7">
        <v>43731</v>
      </c>
      <c r="D43" s="8">
        <v>44</v>
      </c>
      <c r="E43" s="9" t="s">
        <v>55</v>
      </c>
      <c r="F43" s="8" t="s">
        <v>107</v>
      </c>
      <c r="G43" s="11" t="s">
        <v>106</v>
      </c>
      <c r="H43" s="8" t="str">
        <f>"000484"</f>
        <v>000484</v>
      </c>
      <c r="I43" s="7">
        <v>43187</v>
      </c>
      <c r="J43" s="8" t="str">
        <f>"000030"</f>
        <v>000030</v>
      </c>
      <c r="K43" s="7">
        <v>43245</v>
      </c>
      <c r="L43" s="8" t="str">
        <f>"000057"</f>
        <v>000057</v>
      </c>
      <c r="M43" s="7">
        <v>43245</v>
      </c>
      <c r="N43" s="8">
        <v>18</v>
      </c>
      <c r="O43" s="8" t="str">
        <f>"005147"</f>
        <v>005147</v>
      </c>
      <c r="P43" s="7">
        <v>43726</v>
      </c>
      <c r="Q43" s="12">
        <v>9.98367</v>
      </c>
      <c r="R43" s="12">
        <v>1.0044299999999999</v>
      </c>
      <c r="S43" s="12">
        <v>8.9792400000000008</v>
      </c>
      <c r="T43" s="8">
        <v>197</v>
      </c>
      <c r="U43" s="7">
        <v>43731</v>
      </c>
      <c r="V43" s="8">
        <v>9900333496</v>
      </c>
      <c r="W43" s="11" t="s">
        <v>105</v>
      </c>
      <c r="X43" s="8" t="s">
        <v>104</v>
      </c>
      <c r="Y43" s="11" t="s">
        <v>103</v>
      </c>
      <c r="Z43" s="8" t="s">
        <v>47</v>
      </c>
      <c r="AA43" s="11" t="s">
        <v>48</v>
      </c>
      <c r="AB43" s="12">
        <f t="shared" si="1"/>
        <v>9.98367E-2</v>
      </c>
    </row>
    <row r="44" spans="1:28" s="4" customFormat="1" ht="13" x14ac:dyDescent="0.3">
      <c r="A44" s="5">
        <v>1558</v>
      </c>
      <c r="B44" s="6" t="s">
        <v>102</v>
      </c>
      <c r="C44" s="7">
        <v>43738</v>
      </c>
      <c r="D44" s="8">
        <v>44</v>
      </c>
      <c r="E44" s="9" t="s">
        <v>55</v>
      </c>
      <c r="F44" s="8" t="s">
        <v>101</v>
      </c>
      <c r="G44" s="11" t="s">
        <v>100</v>
      </c>
      <c r="H44" s="8" t="str">
        <f>"000011"</f>
        <v>000011</v>
      </c>
      <c r="I44" s="7">
        <v>43630</v>
      </c>
      <c r="J44" s="8" t="str">
        <f>"000155"</f>
        <v>000155</v>
      </c>
      <c r="K44" s="7">
        <v>43717</v>
      </c>
      <c r="L44" s="8" t="str">
        <f>"000246"</f>
        <v>000246</v>
      </c>
      <c r="M44" s="7">
        <v>43719</v>
      </c>
      <c r="N44" s="8">
        <v>19</v>
      </c>
      <c r="O44" s="8" t="str">
        <f>"005398"</f>
        <v>005398</v>
      </c>
      <c r="P44" s="7">
        <v>43731</v>
      </c>
      <c r="Q44" s="12">
        <v>14.42825</v>
      </c>
      <c r="R44" s="12">
        <v>1.4529799999999999</v>
      </c>
      <c r="S44" s="12">
        <v>12.97527</v>
      </c>
      <c r="T44" s="8">
        <v>207</v>
      </c>
      <c r="U44" s="7">
        <v>43738</v>
      </c>
      <c r="V44" s="8">
        <v>0</v>
      </c>
      <c r="W44" s="11" t="s">
        <v>99</v>
      </c>
      <c r="X44" s="8" t="s">
        <v>98</v>
      </c>
      <c r="Y44" s="11" t="s">
        <v>97</v>
      </c>
      <c r="Z44" s="8" t="s">
        <v>47</v>
      </c>
      <c r="AA44" s="11" t="s">
        <v>48</v>
      </c>
      <c r="AB44" s="12">
        <f t="shared" si="1"/>
        <v>0.14428250000000001</v>
      </c>
    </row>
    <row r="45" spans="1:28" s="4" customFormat="1" ht="13" x14ac:dyDescent="0.3">
      <c r="A45" s="5">
        <v>1559</v>
      </c>
      <c r="B45" s="6" t="s">
        <v>141</v>
      </c>
      <c r="C45" s="7">
        <v>43741</v>
      </c>
      <c r="D45" s="5">
        <v>44</v>
      </c>
      <c r="E45" s="9" t="s">
        <v>55</v>
      </c>
      <c r="F45" s="8" t="s">
        <v>75</v>
      </c>
      <c r="G45" s="9" t="s">
        <v>142</v>
      </c>
      <c r="H45" s="8" t="str">
        <f>"000197"</f>
        <v>000197</v>
      </c>
      <c r="I45" s="7">
        <v>43456</v>
      </c>
      <c r="J45" s="8" t="str">
        <f>"000136"</f>
        <v>000136</v>
      </c>
      <c r="K45" s="7">
        <v>43703</v>
      </c>
      <c r="L45" s="8" t="str">
        <f>"000222"</f>
        <v>000222</v>
      </c>
      <c r="M45" s="7">
        <v>43717</v>
      </c>
      <c r="N45" s="8">
        <v>19</v>
      </c>
      <c r="O45" s="8" t="str">
        <f>"005409"</f>
        <v>005409</v>
      </c>
      <c r="P45" s="7">
        <v>43732</v>
      </c>
      <c r="Q45" s="10">
        <v>4.8150000000000004</v>
      </c>
      <c r="R45" s="10">
        <v>0.48149999999999998</v>
      </c>
      <c r="S45" s="10">
        <v>4.3334999999999999</v>
      </c>
      <c r="T45" s="8">
        <v>13</v>
      </c>
      <c r="U45" s="7">
        <v>43741</v>
      </c>
      <c r="V45" s="8">
        <v>8618239904</v>
      </c>
      <c r="W45" s="9" t="s">
        <v>143</v>
      </c>
      <c r="X45" s="8" t="s">
        <v>35</v>
      </c>
      <c r="Y45" s="9" t="s">
        <v>36</v>
      </c>
      <c r="Z45" s="8" t="s">
        <v>47</v>
      </c>
      <c r="AA45" s="9" t="s">
        <v>48</v>
      </c>
      <c r="AB45" s="10">
        <v>4.8150000000000005E-2</v>
      </c>
    </row>
    <row r="46" spans="1:28" s="4" customFormat="1" ht="13" x14ac:dyDescent="0.3">
      <c r="A46" s="5">
        <v>1560</v>
      </c>
      <c r="B46" s="6" t="s">
        <v>141</v>
      </c>
      <c r="C46" s="7">
        <v>43741</v>
      </c>
      <c r="D46" s="5">
        <v>44</v>
      </c>
      <c r="E46" s="9" t="s">
        <v>55</v>
      </c>
      <c r="F46" s="8" t="s">
        <v>125</v>
      </c>
      <c r="G46" s="9" t="s">
        <v>124</v>
      </c>
      <c r="H46" s="8" t="str">
        <f>"000274"</f>
        <v>000274</v>
      </c>
      <c r="I46" s="7">
        <v>43522</v>
      </c>
      <c r="J46" s="8" t="str">
        <f>"000044"</f>
        <v>000044</v>
      </c>
      <c r="K46" s="7">
        <v>43601</v>
      </c>
      <c r="L46" s="8" t="str">
        <f>"000065"</f>
        <v>000065</v>
      </c>
      <c r="M46" s="7">
        <v>43601</v>
      </c>
      <c r="N46" s="8">
        <v>19</v>
      </c>
      <c r="O46" s="8" t="str">
        <f>"004781"</f>
        <v>004781</v>
      </c>
      <c r="P46" s="7">
        <v>43704</v>
      </c>
      <c r="Q46" s="10">
        <v>2.41</v>
      </c>
      <c r="R46" s="10">
        <v>0.24099999999999999</v>
      </c>
      <c r="S46" s="10">
        <v>2.169</v>
      </c>
      <c r="T46" s="8">
        <v>13</v>
      </c>
      <c r="U46" s="7">
        <v>43741</v>
      </c>
      <c r="V46" s="8">
        <v>8618239904</v>
      </c>
      <c r="W46" s="9" t="s">
        <v>144</v>
      </c>
      <c r="X46" s="8" t="s">
        <v>35</v>
      </c>
      <c r="Y46" s="9" t="s">
        <v>36</v>
      </c>
      <c r="Z46" s="8" t="s">
        <v>47</v>
      </c>
      <c r="AA46" s="9" t="s">
        <v>48</v>
      </c>
      <c r="AB46" s="10">
        <v>2.41E-2</v>
      </c>
    </row>
    <row r="47" spans="1:28" s="4" customFormat="1" ht="13" x14ac:dyDescent="0.3">
      <c r="A47" s="5">
        <v>1561</v>
      </c>
      <c r="B47" s="6" t="s">
        <v>141</v>
      </c>
      <c r="C47" s="7">
        <v>43741</v>
      </c>
      <c r="D47" s="5">
        <v>44</v>
      </c>
      <c r="E47" s="9" t="s">
        <v>55</v>
      </c>
      <c r="F47" s="8" t="s">
        <v>125</v>
      </c>
      <c r="G47" s="9" t="s">
        <v>124</v>
      </c>
      <c r="H47" s="8" t="str">
        <f>"000274"</f>
        <v>000274</v>
      </c>
      <c r="I47" s="7">
        <v>43522</v>
      </c>
      <c r="J47" s="8" t="str">
        <f>"000044"</f>
        <v>000044</v>
      </c>
      <c r="K47" s="7">
        <v>43601</v>
      </c>
      <c r="L47" s="8" t="str">
        <f>"000065"</f>
        <v>000065</v>
      </c>
      <c r="M47" s="7">
        <v>43601</v>
      </c>
      <c r="N47" s="8">
        <v>19</v>
      </c>
      <c r="O47" s="8" t="str">
        <f>"004781"</f>
        <v>004781</v>
      </c>
      <c r="P47" s="7">
        <v>43704</v>
      </c>
      <c r="Q47" s="10">
        <v>1.2078</v>
      </c>
      <c r="R47" s="10">
        <v>0.12078</v>
      </c>
      <c r="S47" s="10">
        <v>1.0870200000000001</v>
      </c>
      <c r="T47" s="8">
        <v>13</v>
      </c>
      <c r="U47" s="7">
        <v>43741</v>
      </c>
      <c r="V47" s="8">
        <v>9538136111</v>
      </c>
      <c r="W47" s="9" t="s">
        <v>145</v>
      </c>
      <c r="X47" s="8" t="s">
        <v>35</v>
      </c>
      <c r="Y47" s="9" t="s">
        <v>36</v>
      </c>
      <c r="Z47" s="8" t="s">
        <v>47</v>
      </c>
      <c r="AA47" s="9" t="s">
        <v>48</v>
      </c>
      <c r="AB47" s="10">
        <v>1.2078E-2</v>
      </c>
    </row>
    <row r="48" spans="1:28" s="4" customFormat="1" ht="13" x14ac:dyDescent="0.3">
      <c r="A48" s="5">
        <v>1562</v>
      </c>
      <c r="B48" s="6" t="s">
        <v>141</v>
      </c>
      <c r="C48" s="7">
        <v>43741</v>
      </c>
      <c r="D48" s="5">
        <v>44</v>
      </c>
      <c r="E48" s="9" t="s">
        <v>55</v>
      </c>
      <c r="F48" s="8" t="s">
        <v>146</v>
      </c>
      <c r="G48" s="9" t="s">
        <v>147</v>
      </c>
      <c r="H48" s="8" t="str">
        <f>"000280"</f>
        <v>000280</v>
      </c>
      <c r="I48" s="7">
        <v>43522</v>
      </c>
      <c r="J48" s="8" t="str">
        <f>"000147"</f>
        <v>000147</v>
      </c>
      <c r="K48" s="7">
        <v>43704</v>
      </c>
      <c r="L48" s="8" t="str">
        <f>"000214"</f>
        <v>000214</v>
      </c>
      <c r="M48" s="7">
        <v>43704</v>
      </c>
      <c r="N48" s="8">
        <v>19</v>
      </c>
      <c r="O48" s="8" t="str">
        <f>"005456"</f>
        <v>005456</v>
      </c>
      <c r="P48" s="7">
        <v>43738</v>
      </c>
      <c r="Q48" s="10">
        <v>89.201859999999996</v>
      </c>
      <c r="R48" s="10">
        <v>11.08694</v>
      </c>
      <c r="S48" s="10">
        <v>78.114919999999998</v>
      </c>
      <c r="T48" s="8">
        <v>13</v>
      </c>
      <c r="U48" s="7">
        <v>43741</v>
      </c>
      <c r="V48" s="8">
        <v>9900333496</v>
      </c>
      <c r="W48" s="9" t="s">
        <v>44</v>
      </c>
      <c r="X48" s="8" t="s">
        <v>35</v>
      </c>
      <c r="Y48" s="9" t="s">
        <v>36</v>
      </c>
      <c r="Z48" s="8" t="s">
        <v>47</v>
      </c>
      <c r="AA48" s="9" t="s">
        <v>48</v>
      </c>
      <c r="AB48" s="10">
        <v>0.89201859999999999</v>
      </c>
    </row>
    <row r="49" spans="1:28" s="4" customFormat="1" ht="13" x14ac:dyDescent="0.3">
      <c r="A49" s="5">
        <v>1563</v>
      </c>
      <c r="B49" s="6" t="s">
        <v>141</v>
      </c>
      <c r="C49" s="7">
        <v>43748</v>
      </c>
      <c r="D49" s="5">
        <v>44</v>
      </c>
      <c r="E49" s="9" t="s">
        <v>55</v>
      </c>
      <c r="F49" s="8" t="s">
        <v>148</v>
      </c>
      <c r="G49" s="9" t="s">
        <v>149</v>
      </c>
      <c r="H49" s="8" t="str">
        <f>"000216"</f>
        <v>000216</v>
      </c>
      <c r="I49" s="7">
        <v>43151</v>
      </c>
      <c r="J49" s="8" t="str">
        <f>"000145"</f>
        <v>000145</v>
      </c>
      <c r="K49" s="7">
        <v>43346</v>
      </c>
      <c r="L49" s="8" t="str">
        <f>"000264"</f>
        <v>000264</v>
      </c>
      <c r="M49" s="7">
        <v>43347</v>
      </c>
      <c r="N49" s="8">
        <v>18</v>
      </c>
      <c r="O49" s="8" t="str">
        <f>"005682"</f>
        <v>005682</v>
      </c>
      <c r="P49" s="7">
        <v>43748</v>
      </c>
      <c r="Q49" s="10">
        <v>24.924189999999999</v>
      </c>
      <c r="R49" s="10">
        <v>2.9956499999999999</v>
      </c>
      <c r="S49" s="10">
        <v>21.928540000000002</v>
      </c>
      <c r="T49" s="8">
        <v>13</v>
      </c>
      <c r="U49" s="7">
        <v>43748</v>
      </c>
      <c r="V49" s="8">
        <v>9900333496</v>
      </c>
      <c r="W49" s="9" t="s">
        <v>44</v>
      </c>
      <c r="X49" s="8" t="s">
        <v>113</v>
      </c>
      <c r="Y49" s="9" t="s">
        <v>112</v>
      </c>
      <c r="Z49" s="8" t="s">
        <v>47</v>
      </c>
      <c r="AA49" s="9" t="s">
        <v>48</v>
      </c>
      <c r="AB49" s="10">
        <v>0.24924189999999999</v>
      </c>
    </row>
    <row r="50" spans="1:28" s="4" customFormat="1" ht="13" x14ac:dyDescent="0.3">
      <c r="A50" s="5">
        <v>1564</v>
      </c>
      <c r="B50" s="6" t="s">
        <v>141</v>
      </c>
      <c r="C50" s="7">
        <v>43748</v>
      </c>
      <c r="D50" s="5">
        <v>44</v>
      </c>
      <c r="E50" s="9" t="s">
        <v>55</v>
      </c>
      <c r="F50" s="8" t="s">
        <v>150</v>
      </c>
      <c r="G50" s="9" t="s">
        <v>151</v>
      </c>
      <c r="H50" s="8" t="str">
        <f>"000168"</f>
        <v>000168</v>
      </c>
      <c r="I50" s="7">
        <v>43145</v>
      </c>
      <c r="J50" s="8" t="str">
        <f>"000144"</f>
        <v>000144</v>
      </c>
      <c r="K50" s="7">
        <v>43346</v>
      </c>
      <c r="L50" s="8" t="str">
        <f>"000265"</f>
        <v>000265</v>
      </c>
      <c r="M50" s="7">
        <v>43347</v>
      </c>
      <c r="N50" s="8">
        <v>18</v>
      </c>
      <c r="O50" s="8" t="str">
        <f>"005683"</f>
        <v>005683</v>
      </c>
      <c r="P50" s="7">
        <v>43748</v>
      </c>
      <c r="Q50" s="10">
        <v>24.737950000000001</v>
      </c>
      <c r="R50" s="10">
        <v>2.9522699999999999</v>
      </c>
      <c r="S50" s="10">
        <v>21.785679999999999</v>
      </c>
      <c r="T50" s="8">
        <v>13</v>
      </c>
      <c r="U50" s="7">
        <v>43748</v>
      </c>
      <c r="V50" s="8">
        <v>9900333496</v>
      </c>
      <c r="W50" s="9" t="s">
        <v>44</v>
      </c>
      <c r="X50" s="8" t="s">
        <v>152</v>
      </c>
      <c r="Y50" s="9" t="s">
        <v>153</v>
      </c>
      <c r="Z50" s="8" t="s">
        <v>47</v>
      </c>
      <c r="AA50" s="9" t="s">
        <v>48</v>
      </c>
      <c r="AB50" s="10">
        <v>0.2473795</v>
      </c>
    </row>
    <row r="51" spans="1:28" s="4" customFormat="1" ht="13" x14ac:dyDescent="0.3">
      <c r="A51" s="5">
        <v>1565</v>
      </c>
      <c r="B51" s="6" t="s">
        <v>141</v>
      </c>
      <c r="C51" s="7">
        <v>43752</v>
      </c>
      <c r="D51" s="5">
        <v>44</v>
      </c>
      <c r="E51" s="9" t="s">
        <v>55</v>
      </c>
      <c r="F51" s="8" t="s">
        <v>154</v>
      </c>
      <c r="G51" s="9" t="s">
        <v>155</v>
      </c>
      <c r="H51" s="8" t="str">
        <f>"000456"</f>
        <v>000456</v>
      </c>
      <c r="I51" s="7">
        <v>43187</v>
      </c>
      <c r="J51" s="8" t="str">
        <f>"000019"</f>
        <v>000019</v>
      </c>
      <c r="K51" s="7">
        <v>43218</v>
      </c>
      <c r="L51" s="8" t="str">
        <f>"000042"</f>
        <v>000042</v>
      </c>
      <c r="M51" s="7">
        <v>43218</v>
      </c>
      <c r="N51" s="8">
        <v>18</v>
      </c>
      <c r="O51" s="8" t="str">
        <f>"005552"</f>
        <v>005552</v>
      </c>
      <c r="P51" s="7">
        <v>43739</v>
      </c>
      <c r="Q51" s="10">
        <v>29.96604</v>
      </c>
      <c r="R51" s="10">
        <v>3.6654</v>
      </c>
      <c r="S51" s="10">
        <v>26.300640000000001</v>
      </c>
      <c r="T51" s="8">
        <v>13</v>
      </c>
      <c r="U51" s="7">
        <v>43752</v>
      </c>
      <c r="V51" s="8">
        <v>9900333496</v>
      </c>
      <c r="W51" s="9" t="s">
        <v>105</v>
      </c>
      <c r="X51" s="8" t="s">
        <v>104</v>
      </c>
      <c r="Y51" s="9" t="s">
        <v>103</v>
      </c>
      <c r="Z51" s="8" t="s">
        <v>47</v>
      </c>
      <c r="AA51" s="9" t="s">
        <v>48</v>
      </c>
      <c r="AB51" s="10">
        <v>0.29966039999999999</v>
      </c>
    </row>
    <row r="52" spans="1:28" s="4" customFormat="1" ht="13" x14ac:dyDescent="0.3">
      <c r="A52" s="5">
        <v>1566</v>
      </c>
      <c r="B52" s="6" t="s">
        <v>141</v>
      </c>
      <c r="C52" s="7">
        <v>43752</v>
      </c>
      <c r="D52" s="5">
        <v>44</v>
      </c>
      <c r="E52" s="9" t="s">
        <v>55</v>
      </c>
      <c r="F52" s="8" t="s">
        <v>156</v>
      </c>
      <c r="G52" s="9" t="s">
        <v>157</v>
      </c>
      <c r="H52" s="8" t="str">
        <f>"000458"</f>
        <v>000458</v>
      </c>
      <c r="I52" s="7">
        <v>43187</v>
      </c>
      <c r="J52" s="8" t="str">
        <f>"000020"</f>
        <v>000020</v>
      </c>
      <c r="K52" s="7">
        <v>43218</v>
      </c>
      <c r="L52" s="8" t="str">
        <f>"000043"</f>
        <v>000043</v>
      </c>
      <c r="M52" s="7">
        <v>43218</v>
      </c>
      <c r="N52" s="8">
        <v>18</v>
      </c>
      <c r="O52" s="8" t="str">
        <f>"005553"</f>
        <v>005553</v>
      </c>
      <c r="P52" s="7">
        <v>43739</v>
      </c>
      <c r="Q52" s="10">
        <v>29.955300000000001</v>
      </c>
      <c r="R52" s="10">
        <v>3.7702499999999999</v>
      </c>
      <c r="S52" s="10">
        <v>26.18505</v>
      </c>
      <c r="T52" s="8">
        <v>13</v>
      </c>
      <c r="U52" s="7">
        <v>43752</v>
      </c>
      <c r="V52" s="8">
        <v>9900333496</v>
      </c>
      <c r="W52" s="9" t="s">
        <v>105</v>
      </c>
      <c r="X52" s="8" t="s">
        <v>104</v>
      </c>
      <c r="Y52" s="9" t="s">
        <v>103</v>
      </c>
      <c r="Z52" s="8" t="s">
        <v>47</v>
      </c>
      <c r="AA52" s="9" t="s">
        <v>48</v>
      </c>
      <c r="AB52" s="10">
        <v>0.29955300000000001</v>
      </c>
    </row>
    <row r="53" spans="1:28" s="4" customFormat="1" ht="13" x14ac:dyDescent="0.3">
      <c r="A53" s="5">
        <v>1567</v>
      </c>
      <c r="B53" s="6" t="s">
        <v>141</v>
      </c>
      <c r="C53" s="7">
        <v>43768</v>
      </c>
      <c r="D53" s="5">
        <v>44</v>
      </c>
      <c r="E53" s="9" t="s">
        <v>55</v>
      </c>
      <c r="F53" s="8" t="s">
        <v>158</v>
      </c>
      <c r="G53" s="9" t="s">
        <v>159</v>
      </c>
      <c r="H53" s="8" t="str">
        <f>"000126"</f>
        <v>000126</v>
      </c>
      <c r="I53" s="7">
        <v>43733</v>
      </c>
      <c r="J53" s="8" t="str">
        <f>"000179"</f>
        <v>000179</v>
      </c>
      <c r="K53" s="7">
        <v>43734</v>
      </c>
      <c r="L53" s="8" t="str">
        <f>"000280"</f>
        <v>000280</v>
      </c>
      <c r="M53" s="7">
        <v>43734</v>
      </c>
      <c r="N53" s="8">
        <v>19</v>
      </c>
      <c r="O53" s="8" t="str">
        <f>"005961"</f>
        <v>005961</v>
      </c>
      <c r="P53" s="7">
        <v>43763</v>
      </c>
      <c r="Q53" s="10">
        <v>4.1032299999999999</v>
      </c>
      <c r="R53" s="10">
        <v>0.38934999999999997</v>
      </c>
      <c r="S53" s="10">
        <v>3.7138800000000001</v>
      </c>
      <c r="T53" s="8">
        <v>13</v>
      </c>
      <c r="U53" s="7">
        <v>43768</v>
      </c>
      <c r="V53" s="8">
        <v>0</v>
      </c>
      <c r="W53" s="9" t="s">
        <v>160</v>
      </c>
      <c r="X53" s="8" t="s">
        <v>161</v>
      </c>
      <c r="Y53" s="9" t="s">
        <v>162</v>
      </c>
      <c r="Z53" s="8" t="s">
        <v>47</v>
      </c>
      <c r="AA53" s="9" t="s">
        <v>48</v>
      </c>
      <c r="AB53" s="10">
        <v>4.1032300000000001E-2</v>
      </c>
    </row>
    <row r="54" spans="1:28" s="4" customFormat="1" ht="13" x14ac:dyDescent="0.3">
      <c r="A54" s="5">
        <v>1568</v>
      </c>
      <c r="B54" s="6" t="s">
        <v>141</v>
      </c>
      <c r="C54" s="7">
        <v>43768</v>
      </c>
      <c r="D54" s="5">
        <v>44</v>
      </c>
      <c r="E54" s="9" t="s">
        <v>55</v>
      </c>
      <c r="F54" s="8" t="s">
        <v>163</v>
      </c>
      <c r="G54" s="9" t="s">
        <v>164</v>
      </c>
      <c r="H54" s="8" t="str">
        <f>"000069"</f>
        <v>000069</v>
      </c>
      <c r="I54" s="7">
        <v>43699</v>
      </c>
      <c r="J54" s="8" t="str">
        <f>"000175"</f>
        <v>000175</v>
      </c>
      <c r="K54" s="7">
        <v>43732</v>
      </c>
      <c r="L54" s="8" t="str">
        <f>"000281"</f>
        <v>000281</v>
      </c>
      <c r="M54" s="7">
        <v>43734</v>
      </c>
      <c r="N54" s="8">
        <v>19</v>
      </c>
      <c r="O54" s="8" t="str">
        <f>"005962"</f>
        <v>005962</v>
      </c>
      <c r="P54" s="7">
        <v>43763</v>
      </c>
      <c r="Q54" s="10">
        <v>6.6972199999999997</v>
      </c>
      <c r="R54" s="10">
        <v>0.69759000000000004</v>
      </c>
      <c r="S54" s="10">
        <v>5.9996299999999998</v>
      </c>
      <c r="T54" s="8">
        <v>13</v>
      </c>
      <c r="U54" s="7">
        <v>43768</v>
      </c>
      <c r="V54" s="8">
        <v>0</v>
      </c>
      <c r="W54" s="9" t="s">
        <v>165</v>
      </c>
      <c r="X54" s="8" t="s">
        <v>166</v>
      </c>
      <c r="Y54" s="9" t="s">
        <v>167</v>
      </c>
      <c r="Z54" s="8" t="s">
        <v>47</v>
      </c>
      <c r="AA54" s="9" t="s">
        <v>48</v>
      </c>
      <c r="AB54" s="10">
        <v>6.6972199999999996E-2</v>
      </c>
    </row>
    <row r="55" spans="1:28" s="4" customFormat="1" ht="13" x14ac:dyDescent="0.3">
      <c r="A55" s="5">
        <v>1569</v>
      </c>
      <c r="B55" s="6" t="s">
        <v>141</v>
      </c>
      <c r="C55" s="7">
        <v>43768</v>
      </c>
      <c r="D55" s="5">
        <v>44</v>
      </c>
      <c r="E55" s="9" t="s">
        <v>55</v>
      </c>
      <c r="F55" s="8" t="s">
        <v>168</v>
      </c>
      <c r="G55" s="9" t="s">
        <v>169</v>
      </c>
      <c r="H55" s="8" t="str">
        <f>"000072"</f>
        <v>000072</v>
      </c>
      <c r="I55" s="7">
        <v>43699</v>
      </c>
      <c r="J55" s="8" t="str">
        <f>"000174"</f>
        <v>000174</v>
      </c>
      <c r="K55" s="7">
        <v>43732</v>
      </c>
      <c r="L55" s="8" t="str">
        <f>"000282"</f>
        <v>000282</v>
      </c>
      <c r="M55" s="7">
        <v>43734</v>
      </c>
      <c r="N55" s="8">
        <v>19</v>
      </c>
      <c r="O55" s="8" t="str">
        <f>"005963"</f>
        <v>005963</v>
      </c>
      <c r="P55" s="7">
        <v>43763</v>
      </c>
      <c r="Q55" s="10">
        <v>10.59625</v>
      </c>
      <c r="R55" s="10">
        <v>1.1240699999999999</v>
      </c>
      <c r="S55" s="10">
        <v>9.4721799999999998</v>
      </c>
      <c r="T55" s="8">
        <v>13</v>
      </c>
      <c r="U55" s="7">
        <v>43768</v>
      </c>
      <c r="V55" s="8">
        <v>0</v>
      </c>
      <c r="W55" s="9" t="s">
        <v>170</v>
      </c>
      <c r="X55" s="8" t="s">
        <v>171</v>
      </c>
      <c r="Y55" s="9" t="s">
        <v>172</v>
      </c>
      <c r="Z55" s="8" t="s">
        <v>47</v>
      </c>
      <c r="AA55" s="9" t="s">
        <v>48</v>
      </c>
      <c r="AB55" s="10">
        <v>0.1059625</v>
      </c>
    </row>
    <row r="56" spans="1:28" s="4" customFormat="1" ht="13" x14ac:dyDescent="0.3">
      <c r="A56" s="5">
        <v>1570</v>
      </c>
      <c r="B56" s="6" t="s">
        <v>141</v>
      </c>
      <c r="C56" s="7">
        <v>43768</v>
      </c>
      <c r="D56" s="5">
        <v>44</v>
      </c>
      <c r="E56" s="9" t="s">
        <v>55</v>
      </c>
      <c r="F56" s="8" t="s">
        <v>173</v>
      </c>
      <c r="G56" s="9" t="s">
        <v>174</v>
      </c>
      <c r="H56" s="8" t="str">
        <f>"000068"</f>
        <v>000068</v>
      </c>
      <c r="I56" s="7">
        <v>43699</v>
      </c>
      <c r="J56" s="8" t="str">
        <f>"000173"</f>
        <v>000173</v>
      </c>
      <c r="K56" s="7">
        <v>43732</v>
      </c>
      <c r="L56" s="8" t="str">
        <f>"000283"</f>
        <v>000283</v>
      </c>
      <c r="M56" s="7">
        <v>43734</v>
      </c>
      <c r="N56" s="8">
        <v>19</v>
      </c>
      <c r="O56" s="8" t="str">
        <f>"005964"</f>
        <v>005964</v>
      </c>
      <c r="P56" s="7">
        <v>43763</v>
      </c>
      <c r="Q56" s="10">
        <v>3.6263000000000001</v>
      </c>
      <c r="R56" s="10">
        <v>0.35580000000000001</v>
      </c>
      <c r="S56" s="10">
        <v>3.2705000000000002</v>
      </c>
      <c r="T56" s="8">
        <v>13</v>
      </c>
      <c r="U56" s="7">
        <v>43768</v>
      </c>
      <c r="V56" s="8">
        <v>0</v>
      </c>
      <c r="W56" s="9" t="s">
        <v>175</v>
      </c>
      <c r="X56" s="8" t="s">
        <v>176</v>
      </c>
      <c r="Y56" s="9" t="s">
        <v>177</v>
      </c>
      <c r="Z56" s="8" t="s">
        <v>47</v>
      </c>
      <c r="AA56" s="9" t="s">
        <v>48</v>
      </c>
      <c r="AB56" s="10">
        <v>3.6263000000000004E-2</v>
      </c>
    </row>
    <row r="57" spans="1:28" s="4" customFormat="1" ht="13" x14ac:dyDescent="0.3">
      <c r="A57" s="5">
        <v>1571</v>
      </c>
      <c r="B57" s="6" t="s">
        <v>178</v>
      </c>
      <c r="C57" s="7">
        <v>43773</v>
      </c>
      <c r="D57" s="5">
        <v>44</v>
      </c>
      <c r="E57" s="9" t="s">
        <v>55</v>
      </c>
      <c r="F57" s="8" t="s">
        <v>179</v>
      </c>
      <c r="G57" s="9" t="s">
        <v>180</v>
      </c>
      <c r="H57" s="8" t="str">
        <f>"000185"</f>
        <v>000185</v>
      </c>
      <c r="I57" s="7">
        <v>43147</v>
      </c>
      <c r="J57" s="8" t="str">
        <f>"000025"</f>
        <v>000025</v>
      </c>
      <c r="K57" s="7">
        <v>43222</v>
      </c>
      <c r="L57" s="8" t="str">
        <f>"000044"</f>
        <v>000044</v>
      </c>
      <c r="M57" s="7">
        <v>43222</v>
      </c>
      <c r="N57" s="8">
        <v>18</v>
      </c>
      <c r="O57" s="8" t="str">
        <f>"005906"</f>
        <v>005906</v>
      </c>
      <c r="P57" s="7">
        <v>43763</v>
      </c>
      <c r="Q57" s="10">
        <v>49.96969</v>
      </c>
      <c r="R57" s="10">
        <v>6.1919399999999998</v>
      </c>
      <c r="S57" s="10">
        <v>43.777749999999997</v>
      </c>
      <c r="T57" s="8">
        <v>13</v>
      </c>
      <c r="U57" s="7">
        <v>43773</v>
      </c>
      <c r="V57" s="8">
        <v>9900333496</v>
      </c>
      <c r="W57" s="9" t="s">
        <v>44</v>
      </c>
      <c r="X57" s="8" t="s">
        <v>113</v>
      </c>
      <c r="Y57" s="9" t="s">
        <v>112</v>
      </c>
      <c r="Z57" s="8" t="s">
        <v>47</v>
      </c>
      <c r="AA57" s="9" t="s">
        <v>48</v>
      </c>
      <c r="AB57" s="10">
        <v>0.4996969</v>
      </c>
    </row>
    <row r="58" spans="1:28" s="4" customFormat="1" ht="13" x14ac:dyDescent="0.3">
      <c r="A58" s="5">
        <v>1572</v>
      </c>
      <c r="B58" s="6" t="s">
        <v>178</v>
      </c>
      <c r="C58" s="7">
        <v>43773</v>
      </c>
      <c r="D58" s="5">
        <v>44</v>
      </c>
      <c r="E58" s="9" t="s">
        <v>55</v>
      </c>
      <c r="F58" s="8" t="s">
        <v>181</v>
      </c>
      <c r="G58" s="9" t="s">
        <v>182</v>
      </c>
      <c r="H58" s="8" t="str">
        <f>"000208"</f>
        <v>000208</v>
      </c>
      <c r="I58" s="7">
        <v>43150</v>
      </c>
      <c r="J58" s="8" t="str">
        <f>"000024"</f>
        <v>000024</v>
      </c>
      <c r="K58" s="7">
        <v>43222</v>
      </c>
      <c r="L58" s="8" t="str">
        <f>"000045"</f>
        <v>000045</v>
      </c>
      <c r="M58" s="7">
        <v>43222</v>
      </c>
      <c r="N58" s="8">
        <v>18</v>
      </c>
      <c r="O58" s="8" t="str">
        <f>"005907"</f>
        <v>005907</v>
      </c>
      <c r="P58" s="7">
        <v>43763</v>
      </c>
      <c r="Q58" s="10">
        <v>39.954369999999997</v>
      </c>
      <c r="R58" s="10">
        <v>4.7971500000000002</v>
      </c>
      <c r="S58" s="10">
        <v>35.157220000000002</v>
      </c>
      <c r="T58" s="8">
        <v>13</v>
      </c>
      <c r="U58" s="7">
        <v>43773</v>
      </c>
      <c r="V58" s="8">
        <v>9900333496</v>
      </c>
      <c r="W58" s="9" t="s">
        <v>44</v>
      </c>
      <c r="X58" s="8" t="s">
        <v>42</v>
      </c>
      <c r="Y58" s="9" t="s">
        <v>43</v>
      </c>
      <c r="Z58" s="8" t="s">
        <v>47</v>
      </c>
      <c r="AA58" s="9" t="s">
        <v>48</v>
      </c>
      <c r="AB58" s="10">
        <v>0.39954369999999995</v>
      </c>
    </row>
    <row r="59" spans="1:28" s="4" customFormat="1" ht="13" x14ac:dyDescent="0.3">
      <c r="A59" s="5">
        <v>1573</v>
      </c>
      <c r="B59" s="6" t="s">
        <v>178</v>
      </c>
      <c r="C59" s="7">
        <v>43777</v>
      </c>
      <c r="D59" s="5">
        <v>44</v>
      </c>
      <c r="E59" s="9" t="s">
        <v>55</v>
      </c>
      <c r="F59" s="8" t="s">
        <v>62</v>
      </c>
      <c r="G59" s="9" t="s">
        <v>63</v>
      </c>
      <c r="H59" s="8" t="str">
        <f>"000005"</f>
        <v>000005</v>
      </c>
      <c r="I59" s="7">
        <v>42931</v>
      </c>
      <c r="J59" s="8" t="str">
        <f>"000077"</f>
        <v>000077</v>
      </c>
      <c r="K59" s="7">
        <v>43761</v>
      </c>
      <c r="L59" s="8" t="str">
        <f>"000077"</f>
        <v>000077</v>
      </c>
      <c r="M59" s="7">
        <v>43761</v>
      </c>
      <c r="N59" s="8">
        <v>16</v>
      </c>
      <c r="O59" s="8" t="str">
        <f>"006125"</f>
        <v>006125</v>
      </c>
      <c r="P59" s="7">
        <v>43776</v>
      </c>
      <c r="Q59" s="10">
        <v>7.5004299999999997</v>
      </c>
      <c r="R59" s="10">
        <v>0.74143999999999999</v>
      </c>
      <c r="S59" s="10">
        <v>6.7589899999999998</v>
      </c>
      <c r="T59" s="8">
        <v>13</v>
      </c>
      <c r="U59" s="7">
        <v>43777</v>
      </c>
      <c r="V59" s="8">
        <v>9620096296</v>
      </c>
      <c r="W59" s="9" t="s">
        <v>64</v>
      </c>
      <c r="X59" s="8" t="s">
        <v>29</v>
      </c>
      <c r="Y59" s="9" t="s">
        <v>30</v>
      </c>
      <c r="Z59" s="8" t="s">
        <v>49</v>
      </c>
      <c r="AA59" s="9" t="s">
        <v>50</v>
      </c>
      <c r="AB59" s="10">
        <v>7.5004299999999996E-2</v>
      </c>
    </row>
    <row r="60" spans="1:28" s="4" customFormat="1" ht="13" x14ac:dyDescent="0.3">
      <c r="A60" s="5">
        <v>1574</v>
      </c>
      <c r="B60" s="6" t="s">
        <v>178</v>
      </c>
      <c r="C60" s="7">
        <v>43789</v>
      </c>
      <c r="D60" s="5">
        <v>44</v>
      </c>
      <c r="E60" s="9" t="s">
        <v>55</v>
      </c>
      <c r="F60" s="8" t="s">
        <v>183</v>
      </c>
      <c r="G60" s="9" t="s">
        <v>184</v>
      </c>
      <c r="H60" s="8" t="str">
        <f>"000223"</f>
        <v>000223</v>
      </c>
      <c r="I60" s="7">
        <v>42601</v>
      </c>
      <c r="J60" s="8" t="str">
        <f>"000130"</f>
        <v>000130</v>
      </c>
      <c r="K60" s="7">
        <v>42885</v>
      </c>
      <c r="L60" s="8" t="str">
        <f>"000350"</f>
        <v>000350</v>
      </c>
      <c r="M60" s="7">
        <v>42916</v>
      </c>
      <c r="N60" s="8">
        <v>17</v>
      </c>
      <c r="O60" s="8" t="str">
        <f>"006184"</f>
        <v>006184</v>
      </c>
      <c r="P60" s="7">
        <v>43781</v>
      </c>
      <c r="Q60" s="10">
        <v>24.627099999999999</v>
      </c>
      <c r="R60" s="10">
        <v>3.88679</v>
      </c>
      <c r="S60" s="10">
        <v>20.740310000000001</v>
      </c>
      <c r="T60" s="8">
        <v>13</v>
      </c>
      <c r="U60" s="7">
        <v>43789</v>
      </c>
      <c r="V60" s="8">
        <v>9900333496</v>
      </c>
      <c r="W60" s="9" t="s">
        <v>44</v>
      </c>
      <c r="X60" s="8" t="s">
        <v>51</v>
      </c>
      <c r="Y60" s="9" t="s">
        <v>52</v>
      </c>
      <c r="Z60" s="8" t="s">
        <v>47</v>
      </c>
      <c r="AA60" s="9" t="s">
        <v>48</v>
      </c>
      <c r="AB60" s="10">
        <v>0.24627099999999999</v>
      </c>
    </row>
    <row r="61" spans="1:28" s="4" customFormat="1" ht="13" x14ac:dyDescent="0.3">
      <c r="A61" s="5">
        <v>1575</v>
      </c>
      <c r="B61" s="6" t="s">
        <v>178</v>
      </c>
      <c r="C61" s="7">
        <v>43789</v>
      </c>
      <c r="D61" s="5">
        <v>44</v>
      </c>
      <c r="E61" s="9" t="s">
        <v>55</v>
      </c>
      <c r="F61" s="8" t="s">
        <v>185</v>
      </c>
      <c r="G61" s="9" t="s">
        <v>186</v>
      </c>
      <c r="H61" s="8" t="str">
        <f>"000224"</f>
        <v>000224</v>
      </c>
      <c r="I61" s="7">
        <v>42601</v>
      </c>
      <c r="J61" s="8" t="str">
        <f>"000131"</f>
        <v>000131</v>
      </c>
      <c r="K61" s="7">
        <v>42885</v>
      </c>
      <c r="L61" s="8" t="str">
        <f>"000351"</f>
        <v>000351</v>
      </c>
      <c r="M61" s="7">
        <v>42916</v>
      </c>
      <c r="N61" s="8">
        <v>17</v>
      </c>
      <c r="O61" s="8" t="str">
        <f>"006185"</f>
        <v>006185</v>
      </c>
      <c r="P61" s="7">
        <v>43781</v>
      </c>
      <c r="Q61" s="10">
        <v>49.023499999999999</v>
      </c>
      <c r="R61" s="10">
        <v>7.6125800000000003</v>
      </c>
      <c r="S61" s="10">
        <v>41.410919999999997</v>
      </c>
      <c r="T61" s="8">
        <v>13</v>
      </c>
      <c r="U61" s="7">
        <v>43789</v>
      </c>
      <c r="V61" s="8">
        <v>9900333496</v>
      </c>
      <c r="W61" s="9" t="s">
        <v>44</v>
      </c>
      <c r="X61" s="8" t="s">
        <v>51</v>
      </c>
      <c r="Y61" s="9" t="s">
        <v>52</v>
      </c>
      <c r="Z61" s="8" t="s">
        <v>47</v>
      </c>
      <c r="AA61" s="9" t="s">
        <v>48</v>
      </c>
      <c r="AB61" s="10">
        <v>0.49023499999999998</v>
      </c>
    </row>
    <row r="62" spans="1:28" s="4" customFormat="1" ht="13" x14ac:dyDescent="0.3">
      <c r="A62" s="5">
        <v>1576</v>
      </c>
      <c r="B62" s="6" t="s">
        <v>178</v>
      </c>
      <c r="C62" s="7">
        <v>43795</v>
      </c>
      <c r="D62" s="5">
        <v>44</v>
      </c>
      <c r="E62" s="9" t="s">
        <v>55</v>
      </c>
      <c r="F62" s="8" t="s">
        <v>187</v>
      </c>
      <c r="G62" s="9" t="s">
        <v>188</v>
      </c>
      <c r="H62" s="8" t="str">
        <f>"000459"</f>
        <v>000459</v>
      </c>
      <c r="I62" s="7">
        <v>43187</v>
      </c>
      <c r="J62" s="8" t="str">
        <f>"000046"</f>
        <v>000046</v>
      </c>
      <c r="K62" s="7">
        <v>43252</v>
      </c>
      <c r="L62" s="8" t="str">
        <f>"000079"</f>
        <v>000079</v>
      </c>
      <c r="M62" s="7">
        <v>43253</v>
      </c>
      <c r="N62" s="8">
        <v>18</v>
      </c>
      <c r="O62" s="8" t="str">
        <f>"006237"</f>
        <v>006237</v>
      </c>
      <c r="P62" s="7">
        <v>43783</v>
      </c>
      <c r="Q62" s="10">
        <v>34.958359999999999</v>
      </c>
      <c r="R62" s="10">
        <v>4.242</v>
      </c>
      <c r="S62" s="10">
        <v>30.716360000000002</v>
      </c>
      <c r="T62" s="8">
        <v>13</v>
      </c>
      <c r="U62" s="7">
        <v>43795</v>
      </c>
      <c r="V62" s="8">
        <v>9900333496</v>
      </c>
      <c r="W62" s="9" t="s">
        <v>105</v>
      </c>
      <c r="X62" s="8" t="s">
        <v>104</v>
      </c>
      <c r="Y62" s="9" t="s">
        <v>103</v>
      </c>
      <c r="Z62" s="8" t="s">
        <v>47</v>
      </c>
      <c r="AA62" s="9" t="s">
        <v>48</v>
      </c>
      <c r="AB62" s="10">
        <v>0.34958359999999999</v>
      </c>
    </row>
    <row r="63" spans="1:28" s="4" customFormat="1" ht="13" x14ac:dyDescent="0.3">
      <c r="A63" s="5">
        <v>1577</v>
      </c>
      <c r="B63" s="6" t="s">
        <v>189</v>
      </c>
      <c r="C63" s="7">
        <v>43806</v>
      </c>
      <c r="D63" s="5">
        <v>44</v>
      </c>
      <c r="E63" s="9" t="s">
        <v>55</v>
      </c>
      <c r="F63" s="8" t="s">
        <v>71</v>
      </c>
      <c r="G63" s="9" t="s">
        <v>72</v>
      </c>
      <c r="H63" s="8" t="str">
        <f>"000004"</f>
        <v>000004</v>
      </c>
      <c r="I63" s="7">
        <v>43582</v>
      </c>
      <c r="J63" s="8" t="str">
        <f>"000196"</f>
        <v>000196</v>
      </c>
      <c r="K63" s="7">
        <v>43771</v>
      </c>
      <c r="L63" s="8" t="str">
        <f>"000306"</f>
        <v>000306</v>
      </c>
      <c r="M63" s="7">
        <v>43773</v>
      </c>
      <c r="N63" s="8">
        <v>19</v>
      </c>
      <c r="O63" s="8" t="str">
        <f>"006492"</f>
        <v>006492</v>
      </c>
      <c r="P63" s="7">
        <v>43798</v>
      </c>
      <c r="Q63" s="10">
        <v>46.729660000000003</v>
      </c>
      <c r="R63" s="10">
        <v>5.6118600000000001</v>
      </c>
      <c r="S63" s="10">
        <v>41.117800000000003</v>
      </c>
      <c r="T63" s="8">
        <v>13</v>
      </c>
      <c r="U63" s="7">
        <v>43806</v>
      </c>
      <c r="V63" s="8">
        <v>9900333496</v>
      </c>
      <c r="W63" s="9" t="s">
        <v>44</v>
      </c>
      <c r="X63" s="8" t="s">
        <v>35</v>
      </c>
      <c r="Y63" s="9" t="s">
        <v>36</v>
      </c>
      <c r="Z63" s="8" t="s">
        <v>47</v>
      </c>
      <c r="AA63" s="9" t="s">
        <v>48</v>
      </c>
      <c r="AB63" s="10">
        <v>0.46729660000000001</v>
      </c>
    </row>
    <row r="64" spans="1:28" s="4" customFormat="1" ht="13" x14ac:dyDescent="0.3">
      <c r="A64" s="5">
        <v>1578</v>
      </c>
      <c r="B64" s="6" t="s">
        <v>189</v>
      </c>
      <c r="C64" s="7">
        <v>43809</v>
      </c>
      <c r="D64" s="5">
        <v>44</v>
      </c>
      <c r="E64" s="9" t="s">
        <v>55</v>
      </c>
      <c r="F64" s="8" t="s">
        <v>190</v>
      </c>
      <c r="G64" s="9" t="s">
        <v>191</v>
      </c>
      <c r="H64" s="8" t="str">
        <f>"000194"</f>
        <v>000194</v>
      </c>
      <c r="I64" s="7">
        <v>43147</v>
      </c>
      <c r="J64" s="8" t="str">
        <f>"000155"</f>
        <v>000155</v>
      </c>
      <c r="K64" s="7">
        <v>43353</v>
      </c>
      <c r="L64" s="8" t="str">
        <f>"000270"</f>
        <v>000270</v>
      </c>
      <c r="M64" s="7">
        <v>43354</v>
      </c>
      <c r="N64" s="8">
        <v>18</v>
      </c>
      <c r="O64" s="8" t="str">
        <f>"006672"</f>
        <v>006672</v>
      </c>
      <c r="P64" s="7">
        <v>43805</v>
      </c>
      <c r="Q64" s="10">
        <v>29.713660000000001</v>
      </c>
      <c r="R64" s="10">
        <v>3.69259</v>
      </c>
      <c r="S64" s="10">
        <v>26.021070000000002</v>
      </c>
      <c r="T64" s="8">
        <v>13</v>
      </c>
      <c r="U64" s="7">
        <v>43809</v>
      </c>
      <c r="V64" s="8">
        <v>9900333496</v>
      </c>
      <c r="W64" s="9" t="s">
        <v>44</v>
      </c>
      <c r="X64" s="8" t="s">
        <v>113</v>
      </c>
      <c r="Y64" s="9" t="s">
        <v>112</v>
      </c>
      <c r="Z64" s="8" t="s">
        <v>47</v>
      </c>
      <c r="AA64" s="9" t="s">
        <v>48</v>
      </c>
      <c r="AB64" s="10">
        <v>0.29713660000000003</v>
      </c>
    </row>
    <row r="65" spans="1:28" s="4" customFormat="1" ht="13" x14ac:dyDescent="0.3">
      <c r="A65" s="5">
        <v>1579</v>
      </c>
      <c r="B65" s="6" t="s">
        <v>189</v>
      </c>
      <c r="C65" s="7">
        <v>43809</v>
      </c>
      <c r="D65" s="5">
        <v>44</v>
      </c>
      <c r="E65" s="9" t="s">
        <v>55</v>
      </c>
      <c r="F65" s="8" t="s">
        <v>192</v>
      </c>
      <c r="G65" s="9" t="s">
        <v>193</v>
      </c>
      <c r="H65" s="8" t="str">
        <f>"000336"</f>
        <v>000336</v>
      </c>
      <c r="I65" s="7">
        <v>43176</v>
      </c>
      <c r="J65" s="8" t="str">
        <f>"000184"</f>
        <v>000184</v>
      </c>
      <c r="K65" s="7">
        <v>43372</v>
      </c>
      <c r="L65" s="8" t="str">
        <f>"000321"</f>
        <v>000321</v>
      </c>
      <c r="M65" s="7">
        <v>43372</v>
      </c>
      <c r="N65" s="8">
        <v>18</v>
      </c>
      <c r="O65" s="8" t="str">
        <f>"006674"</f>
        <v>006674</v>
      </c>
      <c r="P65" s="7">
        <v>43805</v>
      </c>
      <c r="Q65" s="10">
        <v>24.874929999999999</v>
      </c>
      <c r="R65" s="10">
        <v>3.1629</v>
      </c>
      <c r="S65" s="10">
        <v>21.712029999999999</v>
      </c>
      <c r="T65" s="8">
        <v>13</v>
      </c>
      <c r="U65" s="7">
        <v>43809</v>
      </c>
      <c r="V65" s="8">
        <v>9900333496</v>
      </c>
      <c r="W65" s="9" t="s">
        <v>44</v>
      </c>
      <c r="X65" s="8" t="s">
        <v>194</v>
      </c>
      <c r="Y65" s="9" t="s">
        <v>195</v>
      </c>
      <c r="Z65" s="8" t="s">
        <v>47</v>
      </c>
      <c r="AA65" s="9" t="s">
        <v>48</v>
      </c>
      <c r="AB65" s="10">
        <v>0.24874929999999998</v>
      </c>
    </row>
    <row r="66" spans="1:28" s="4" customFormat="1" ht="13" x14ac:dyDescent="0.3">
      <c r="A66" s="5">
        <v>1580</v>
      </c>
      <c r="B66" s="6" t="s">
        <v>189</v>
      </c>
      <c r="C66" s="7">
        <v>43816</v>
      </c>
      <c r="D66" s="5">
        <v>44</v>
      </c>
      <c r="E66" s="9" t="s">
        <v>55</v>
      </c>
      <c r="F66" s="8" t="s">
        <v>196</v>
      </c>
      <c r="G66" s="9" t="s">
        <v>197</v>
      </c>
      <c r="H66" s="8" t="str">
        <f>"000124"</f>
        <v>000124</v>
      </c>
      <c r="I66" s="7">
        <v>43733</v>
      </c>
      <c r="J66" s="8" t="str">
        <f>"000204"</f>
        <v>000204</v>
      </c>
      <c r="K66" s="7">
        <v>43782</v>
      </c>
      <c r="L66" s="8" t="str">
        <f>"000316"</f>
        <v>000316</v>
      </c>
      <c r="M66" s="7">
        <v>43783</v>
      </c>
      <c r="N66" s="8">
        <v>19</v>
      </c>
      <c r="O66" s="8" t="str">
        <f>"006737"</f>
        <v>006737</v>
      </c>
      <c r="P66" s="7">
        <v>43810</v>
      </c>
      <c r="Q66" s="10">
        <v>18.399889999999999</v>
      </c>
      <c r="R66" s="10">
        <v>1.8892500000000001</v>
      </c>
      <c r="S66" s="10">
        <v>16.510639999999999</v>
      </c>
      <c r="T66" s="8">
        <v>13</v>
      </c>
      <c r="U66" s="7">
        <v>43816</v>
      </c>
      <c r="V66" s="8">
        <v>0</v>
      </c>
      <c r="W66" s="9" t="s">
        <v>170</v>
      </c>
      <c r="X66" s="8" t="s">
        <v>198</v>
      </c>
      <c r="Y66" s="9" t="s">
        <v>199</v>
      </c>
      <c r="Z66" s="8" t="s">
        <v>47</v>
      </c>
      <c r="AA66" s="9" t="s">
        <v>48</v>
      </c>
      <c r="AB66" s="10">
        <v>0.18399889999999999</v>
      </c>
    </row>
    <row r="67" spans="1:28" s="4" customFormat="1" ht="13" x14ac:dyDescent="0.3">
      <c r="A67" s="5">
        <v>1581</v>
      </c>
      <c r="B67" s="6" t="s">
        <v>189</v>
      </c>
      <c r="C67" s="7">
        <v>43817</v>
      </c>
      <c r="D67" s="5">
        <v>44</v>
      </c>
      <c r="E67" s="9" t="s">
        <v>55</v>
      </c>
      <c r="F67" s="8" t="s">
        <v>200</v>
      </c>
      <c r="G67" s="9" t="s">
        <v>201</v>
      </c>
      <c r="H67" s="8" t="str">
        <f>"000312"</f>
        <v>000312</v>
      </c>
      <c r="I67" s="7">
        <v>43159</v>
      </c>
      <c r="J67" s="8" t="str">
        <f>"000040"</f>
        <v>000040</v>
      </c>
      <c r="K67" s="7">
        <v>43251</v>
      </c>
      <c r="L67" s="8" t="str">
        <f>"000068"</f>
        <v>000068</v>
      </c>
      <c r="M67" s="7">
        <v>43251</v>
      </c>
      <c r="N67" s="8">
        <v>18</v>
      </c>
      <c r="O67" s="8" t="str">
        <f>"006722"</f>
        <v>006722</v>
      </c>
      <c r="P67" s="7">
        <v>43809</v>
      </c>
      <c r="Q67" s="10">
        <v>19.993030000000001</v>
      </c>
      <c r="R67" s="10">
        <v>2.3818100000000002</v>
      </c>
      <c r="S67" s="10">
        <v>17.611219999999999</v>
      </c>
      <c r="T67" s="8">
        <v>13</v>
      </c>
      <c r="U67" s="7">
        <v>43817</v>
      </c>
      <c r="V67" s="8">
        <v>9900333496</v>
      </c>
      <c r="W67" s="9" t="s">
        <v>44</v>
      </c>
      <c r="X67" s="8" t="s">
        <v>42</v>
      </c>
      <c r="Y67" s="9" t="s">
        <v>43</v>
      </c>
      <c r="Z67" s="8" t="s">
        <v>47</v>
      </c>
      <c r="AA67" s="9" t="s">
        <v>48</v>
      </c>
      <c r="AB67" s="10">
        <v>0.19993030000000001</v>
      </c>
    </row>
    <row r="68" spans="1:28" s="4" customFormat="1" ht="13" x14ac:dyDescent="0.3">
      <c r="A68" s="5">
        <v>1582</v>
      </c>
      <c r="B68" s="6" t="s">
        <v>189</v>
      </c>
      <c r="C68" s="7">
        <v>43817</v>
      </c>
      <c r="D68" s="5">
        <v>44</v>
      </c>
      <c r="E68" s="9" t="s">
        <v>55</v>
      </c>
      <c r="F68" s="8" t="s">
        <v>202</v>
      </c>
      <c r="G68" s="9" t="s">
        <v>203</v>
      </c>
      <c r="H68" s="8" t="str">
        <f>"000315"</f>
        <v>000315</v>
      </c>
      <c r="I68" s="7">
        <v>43159</v>
      </c>
      <c r="J68" s="8" t="str">
        <f>"000039"</f>
        <v>000039</v>
      </c>
      <c r="K68" s="7">
        <v>43251</v>
      </c>
      <c r="L68" s="8" t="str">
        <f>"000069"</f>
        <v>000069</v>
      </c>
      <c r="M68" s="7">
        <v>43251</v>
      </c>
      <c r="N68" s="8">
        <v>18</v>
      </c>
      <c r="O68" s="8" t="str">
        <f>"006723"</f>
        <v>006723</v>
      </c>
      <c r="P68" s="7">
        <v>43809</v>
      </c>
      <c r="Q68" s="10">
        <v>29.9772</v>
      </c>
      <c r="R68" s="10">
        <v>3.7005499999999998</v>
      </c>
      <c r="S68" s="10">
        <v>26.27665</v>
      </c>
      <c r="T68" s="8">
        <v>13</v>
      </c>
      <c r="U68" s="7">
        <v>43817</v>
      </c>
      <c r="V68" s="8">
        <v>9900333496</v>
      </c>
      <c r="W68" s="9" t="s">
        <v>44</v>
      </c>
      <c r="X68" s="8" t="s">
        <v>42</v>
      </c>
      <c r="Y68" s="9" t="s">
        <v>43</v>
      </c>
      <c r="Z68" s="8" t="s">
        <v>47</v>
      </c>
      <c r="AA68" s="9" t="s">
        <v>48</v>
      </c>
      <c r="AB68" s="10">
        <v>0.29977199999999998</v>
      </c>
    </row>
    <row r="69" spans="1:28" s="4" customFormat="1" ht="13" x14ac:dyDescent="0.3">
      <c r="A69" s="5">
        <v>1583</v>
      </c>
      <c r="B69" s="6" t="s">
        <v>189</v>
      </c>
      <c r="C69" s="7">
        <v>43823</v>
      </c>
      <c r="D69" s="5">
        <v>44</v>
      </c>
      <c r="E69" s="9" t="s">
        <v>55</v>
      </c>
      <c r="F69" s="8" t="s">
        <v>204</v>
      </c>
      <c r="G69" s="9" t="s">
        <v>205</v>
      </c>
      <c r="H69" s="8" t="str">
        <f>"000189"</f>
        <v>000189</v>
      </c>
      <c r="I69" s="7">
        <v>43147</v>
      </c>
      <c r="J69" s="8" t="str">
        <f>"000042"</f>
        <v>000042</v>
      </c>
      <c r="K69" s="7">
        <v>43251</v>
      </c>
      <c r="L69" s="8" t="str">
        <f>"000070"</f>
        <v>000070</v>
      </c>
      <c r="M69" s="7">
        <v>43251</v>
      </c>
      <c r="N69" s="8">
        <v>18</v>
      </c>
      <c r="O69" s="8" t="str">
        <f>"006778"</f>
        <v>006778</v>
      </c>
      <c r="P69" s="7">
        <v>43811</v>
      </c>
      <c r="Q69" s="10">
        <v>24.96227</v>
      </c>
      <c r="R69" s="10">
        <v>3.1547100000000001</v>
      </c>
      <c r="S69" s="10">
        <v>21.807559999999999</v>
      </c>
      <c r="T69" s="8">
        <v>13</v>
      </c>
      <c r="U69" s="7">
        <v>43823</v>
      </c>
      <c r="V69" s="8">
        <v>9900333496</v>
      </c>
      <c r="W69" s="9" t="s">
        <v>44</v>
      </c>
      <c r="X69" s="8" t="s">
        <v>113</v>
      </c>
      <c r="Y69" s="9" t="s">
        <v>112</v>
      </c>
      <c r="Z69" s="8" t="s">
        <v>47</v>
      </c>
      <c r="AA69" s="9" t="s">
        <v>48</v>
      </c>
      <c r="AB69" s="10">
        <v>0.2496227</v>
      </c>
    </row>
    <row r="70" spans="1:28" s="4" customFormat="1" ht="13" x14ac:dyDescent="0.3">
      <c r="A70" s="5">
        <v>1584</v>
      </c>
      <c r="B70" s="6" t="s">
        <v>189</v>
      </c>
      <c r="C70" s="7">
        <v>43823</v>
      </c>
      <c r="D70" s="5">
        <v>44</v>
      </c>
      <c r="E70" s="9" t="s">
        <v>55</v>
      </c>
      <c r="F70" s="8" t="s">
        <v>206</v>
      </c>
      <c r="G70" s="9" t="s">
        <v>207</v>
      </c>
      <c r="H70" s="8" t="str">
        <f>"000190"</f>
        <v>000190</v>
      </c>
      <c r="I70" s="7">
        <v>43147</v>
      </c>
      <c r="J70" s="8" t="str">
        <f>"000041"</f>
        <v>000041</v>
      </c>
      <c r="K70" s="7">
        <v>43251</v>
      </c>
      <c r="L70" s="8" t="str">
        <f>"000071"</f>
        <v>000071</v>
      </c>
      <c r="M70" s="7">
        <v>43251</v>
      </c>
      <c r="N70" s="8">
        <v>18</v>
      </c>
      <c r="O70" s="8" t="str">
        <f>"006784"</f>
        <v>006784</v>
      </c>
      <c r="P70" s="7">
        <v>43811</v>
      </c>
      <c r="Q70" s="10">
        <v>14.991400000000001</v>
      </c>
      <c r="R70" s="10">
        <v>1.8377699999999999</v>
      </c>
      <c r="S70" s="10">
        <v>13.15363</v>
      </c>
      <c r="T70" s="8">
        <v>13</v>
      </c>
      <c r="U70" s="7">
        <v>43823</v>
      </c>
      <c r="V70" s="8">
        <v>9900333496</v>
      </c>
      <c r="W70" s="9" t="s">
        <v>44</v>
      </c>
      <c r="X70" s="8" t="s">
        <v>113</v>
      </c>
      <c r="Y70" s="9" t="s">
        <v>112</v>
      </c>
      <c r="Z70" s="8" t="s">
        <v>47</v>
      </c>
      <c r="AA70" s="9" t="s">
        <v>48</v>
      </c>
      <c r="AB70" s="10">
        <v>0.14991399999999999</v>
      </c>
    </row>
    <row r="71" spans="1:28" s="4" customFormat="1" ht="13" x14ac:dyDescent="0.3">
      <c r="A71" s="5">
        <v>1585</v>
      </c>
      <c r="B71" s="6" t="s">
        <v>189</v>
      </c>
      <c r="C71" s="7">
        <v>43823</v>
      </c>
      <c r="D71" s="5">
        <v>44</v>
      </c>
      <c r="E71" s="9" t="s">
        <v>55</v>
      </c>
      <c r="F71" s="8" t="s">
        <v>208</v>
      </c>
      <c r="G71" s="9" t="s">
        <v>209</v>
      </c>
      <c r="H71" s="8" t="str">
        <f>"000455"</f>
        <v>000455</v>
      </c>
      <c r="I71" s="7">
        <v>43187</v>
      </c>
      <c r="J71" s="8" t="str">
        <f>"000043"</f>
        <v>000043</v>
      </c>
      <c r="K71" s="7">
        <v>43251</v>
      </c>
      <c r="L71" s="8" t="str">
        <f>"000073"</f>
        <v>000073</v>
      </c>
      <c r="M71" s="7">
        <v>43251</v>
      </c>
      <c r="N71" s="8">
        <v>18</v>
      </c>
      <c r="O71" s="8" t="str">
        <f>"006786"</f>
        <v>006786</v>
      </c>
      <c r="P71" s="7">
        <v>43811</v>
      </c>
      <c r="Q71" s="10">
        <v>34.999679999999998</v>
      </c>
      <c r="R71" s="10">
        <v>4.4525600000000001</v>
      </c>
      <c r="S71" s="10">
        <v>30.54712</v>
      </c>
      <c r="T71" s="8">
        <v>13</v>
      </c>
      <c r="U71" s="7">
        <v>43823</v>
      </c>
      <c r="V71" s="8">
        <v>9900333496</v>
      </c>
      <c r="W71" s="9" t="s">
        <v>210</v>
      </c>
      <c r="X71" s="8" t="s">
        <v>104</v>
      </c>
      <c r="Y71" s="9" t="s">
        <v>103</v>
      </c>
      <c r="Z71" s="8" t="s">
        <v>47</v>
      </c>
      <c r="AA71" s="9" t="s">
        <v>48</v>
      </c>
      <c r="AB71" s="10">
        <v>0.3499968</v>
      </c>
    </row>
    <row r="72" spans="1:28" s="4" customFormat="1" ht="13" x14ac:dyDescent="0.3">
      <c r="A72" s="5">
        <v>1586</v>
      </c>
      <c r="B72" s="6" t="s">
        <v>189</v>
      </c>
      <c r="C72" s="7">
        <v>43823</v>
      </c>
      <c r="D72" s="5">
        <v>44</v>
      </c>
      <c r="E72" s="9" t="s">
        <v>55</v>
      </c>
      <c r="F72" s="8" t="s">
        <v>211</v>
      </c>
      <c r="G72" s="9" t="s">
        <v>212</v>
      </c>
      <c r="H72" s="8" t="str">
        <f>"000457"</f>
        <v>000457</v>
      </c>
      <c r="I72" s="7">
        <v>43187</v>
      </c>
      <c r="J72" s="8" t="str">
        <f>"000044"</f>
        <v>000044</v>
      </c>
      <c r="K72" s="7">
        <v>43251</v>
      </c>
      <c r="L72" s="8" t="str">
        <f>"000074"</f>
        <v>000074</v>
      </c>
      <c r="M72" s="7">
        <v>43251</v>
      </c>
      <c r="N72" s="8">
        <v>18</v>
      </c>
      <c r="O72" s="8" t="str">
        <f>"006796"</f>
        <v>006796</v>
      </c>
      <c r="P72" s="7">
        <v>43811</v>
      </c>
      <c r="Q72" s="10">
        <v>49.982309999999998</v>
      </c>
      <c r="R72" s="10">
        <v>6.1649599999999998</v>
      </c>
      <c r="S72" s="10">
        <v>43.817349999999998</v>
      </c>
      <c r="T72" s="8">
        <v>13</v>
      </c>
      <c r="U72" s="7">
        <v>43823</v>
      </c>
      <c r="V72" s="8">
        <v>9900333496</v>
      </c>
      <c r="W72" s="9" t="s">
        <v>105</v>
      </c>
      <c r="X72" s="8" t="s">
        <v>104</v>
      </c>
      <c r="Y72" s="9" t="s">
        <v>103</v>
      </c>
      <c r="Z72" s="8" t="s">
        <v>47</v>
      </c>
      <c r="AA72" s="9" t="s">
        <v>48</v>
      </c>
      <c r="AB72" s="10">
        <v>0.49982309999999996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2020-01-28T11:47:02Z</dcterms:modified>
</cp:coreProperties>
</file>