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L33" i="1"/>
  <c r="J33" i="1"/>
  <c r="H33" i="1"/>
  <c r="O32" i="1"/>
  <c r="L32" i="1"/>
  <c r="J32" i="1"/>
  <c r="H32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<sst xmlns="http://schemas.openxmlformats.org/spreadsheetml/2006/main" count="316" uniqueCount="133">
  <si>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</si>
  <si>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</si>
  <si>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</si>
  <si>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</si>
  <si>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</si>
  <si>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</si>
  <si>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</si>
  <si>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</si>
  <si>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</si>
  <si>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</si>
  <si>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</si>
  <si>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</si>
  <si>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</si>
  <si>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</si>
  <si>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</si>
  <si>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</si>
  <si>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</si>
  <si>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</si>
  <si>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</si>
  <si>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</si>
  <si>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</si>
  <si>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</si>
  <si>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</si>
  <si>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</si>
  <si>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</si>
  <si>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</si>
  <si>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</si>
  <si>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</si>
  <si>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</si>
  <si>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</si>
  <si>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</si>
  <si>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</si>
  <si>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</si>
  <si>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</si>
  <si>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</si>
  <si>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</si>
  <si>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</si>
  <si>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P3158</t>
  </si>
  <si>
    <t>SIP Infrastructure Project works</t>
  </si>
  <si>
    <t>Manoj Enterprises</t>
  </si>
  <si>
    <t>ddo209</t>
  </si>
  <si>
    <t xml:space="preserve"> Assistant Executive Engineer Electrical West Zone</t>
  </si>
  <si>
    <t>Malleshwaram</t>
  </si>
  <si>
    <t>045-17-000031</t>
  </si>
  <si>
    <t>Providing Tensile Roof and other development works at Govt. School premises at Subedarpalya in ward no 45</t>
  </si>
  <si>
    <t>Sri.Dhananjaya. B.S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</si>
  <si>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</si>
  <si>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</si>
  <si>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ddo208</t>
  </si>
  <si>
    <t xml:space="preserve"> Assistant Executive Engineer Mathikere West Zone</t>
  </si>
  <si>
    <t>045-12-000018</t>
  </si>
  <si>
    <t>Construction of Group Houses (Multy Storeyd Building) in Karimandi Slum in Ward No-45(Stilt Ground 1st,2nd and 3rd floor)</t>
  </si>
  <si>
    <t>Sri. M/S Saitrisha InfraEngineers PVT Ltd., .</t>
  </si>
  <si>
    <t>045-18-000027</t>
  </si>
  <si>
    <t>Providing repairs to toilet and painting works at Vinayaka slum block-4 in ward no</t>
  </si>
  <si>
    <t xml:space="preserve">Executive Engineer-2  M/s KRIDL BBMP(West) </t>
  </si>
  <si>
    <t>045-18-000033</t>
  </si>
  <si>
    <t>Construction of RCC drain and other development works at Govt school premises Subedarpalya in ward no-45</t>
  </si>
  <si>
    <t xml:space="preserve">Executive Engineer-2  M/s KRIDL BBMP(West)  </t>
  </si>
  <si>
    <t>045-18-000025</t>
  </si>
  <si>
    <t>Providing repairs to toilet and painting works at Vinayaka slum block-2 in ward no</t>
  </si>
  <si>
    <t>045-18-000026</t>
  </si>
  <si>
    <t>Providing repairs to toilet and painting works at Vinayaka slum block-3 in ward no</t>
  </si>
  <si>
    <t>045-18-000028</t>
  </si>
  <si>
    <t>Providing repairs to toilet and painting works at Vinayaka slum block-5 in ward no</t>
  </si>
  <si>
    <t>045-18-000024</t>
  </si>
  <si>
    <t>Providing repairs to toilet and painting works at Vinayaka slum block-1 in ward no</t>
  </si>
  <si>
    <t>045-18-000029</t>
  </si>
  <si>
    <t>Providing repairs to sanitary line and concreting to Vinayaka slum block-1 in ward no</t>
  </si>
  <si>
    <t>045-18-000031</t>
  </si>
  <si>
    <t>Providing Concreting to gallie road in between 18th cross to 19 th cross at malleswaram in ward no-45</t>
  </si>
  <si>
    <t>045-16-000003</t>
  </si>
  <si>
    <t xml:space="preserve"> Annual Operation And maintenance Of Street Lights at Malleshwaram in Ward No- 45</t>
  </si>
  <si>
    <t>045-13-000031</t>
  </si>
  <si>
    <t>Construction of group houses (multi stored building ) in Bhyrahanumayian slum in Ward No-45 (2 3 and 4th floor)</t>
  </si>
  <si>
    <t>MS Saitrisha Infra Engineers Pvt Ltd Nagesh M</t>
  </si>
  <si>
    <t>P2021</t>
  </si>
  <si>
    <t>Purchase of Land and Construction of Houses, Hostels,  Ambedkar Bhavan (Incl Prev yr Bal. Bills)</t>
  </si>
  <si>
    <t>045-17-000011</t>
  </si>
  <si>
    <t>Improvements to Yeshwanthpur Circle and Providing Beautification work and Naming as a Constitutional Circle in ward no.45</t>
  </si>
  <si>
    <t xml:space="preserve">Dhananjaya B S </t>
  </si>
  <si>
    <t>045-17-000042</t>
  </si>
  <si>
    <t>Dovelopement of Footpath of 8th Main, From 8th Cross to YPR Circle in ward 45</t>
  </si>
  <si>
    <t xml:space="preserve">Sri Venkatachalapathi S/o D Muni Venkatappa </t>
  </si>
  <si>
    <t>045-17-000003</t>
  </si>
  <si>
    <t>Emergency works in ward no.45</t>
  </si>
  <si>
    <t>Sri Shiva Prakash K</t>
  </si>
  <si>
    <t>045-17-000004</t>
  </si>
  <si>
    <t xml:space="preserve">Sri Shiva Prakash K, </t>
  </si>
  <si>
    <t>045-16-000011</t>
  </si>
  <si>
    <t>Emergency works (Maintenance of culverts in ward no.45 Malleshwaram Area)</t>
  </si>
  <si>
    <t>Dilip BK</t>
  </si>
  <si>
    <t>July</t>
  </si>
  <si>
    <t>045-18-000034</t>
  </si>
  <si>
    <t>Construction of RCC drain and other development works at santhe maidhana school premises Yeshwanthpur, Shariff slum in ward no-45</t>
  </si>
  <si>
    <t xml:space="preserve">Executive Engineer-2 KRIDL BBMP (West) </t>
  </si>
  <si>
    <t>045-17-000010</t>
  </si>
  <si>
    <t>Mainteance of Ward (including Debries Removal) in ward no.45 From Ist shift 6.00AM to 2.00PM</t>
  </si>
  <si>
    <t xml:space="preserve">Sreedhara V </t>
  </si>
  <si>
    <t>045-11-000030</t>
  </si>
  <si>
    <t>Construction of 6 Individual houses at Subedarpallya Harijana Colony and Siddarth Slum in Ward No. 45 Mallesharam</t>
  </si>
  <si>
    <t>Sri. S.Venkatesh Naidu</t>
  </si>
  <si>
    <t>045-11-000032</t>
  </si>
  <si>
    <t>Improvements to Govt. School (Santhe Maidana) in Yashavanthapura of Ward no. 45</t>
  </si>
  <si>
    <t>SRI K V SUBRAMANI,</t>
  </si>
  <si>
    <t>P2201</t>
  </si>
  <si>
    <t>Assembly Constituency Development Works under BBMP</t>
  </si>
  <si>
    <t>August</t>
  </si>
  <si>
    <t>045-16-000023</t>
  </si>
  <si>
    <t>Providing Concreting to roads and construction of culverts at Subedarpalya New Harijana Colony roads, in Ward no 45 Malleshwaram</t>
  </si>
  <si>
    <t xml:space="preserve">Executive Engineer-2 M/s KRIDL BBMP(West) </t>
  </si>
  <si>
    <t>P0190</t>
  </si>
  <si>
    <t>Works sanctioned by Hon Mayor</t>
  </si>
  <si>
    <t>September</t>
  </si>
  <si>
    <t>Annual Operation And maintenance Of Street Lights at Malleshwaram in Ward No- 45</t>
  </si>
  <si>
    <t>Purchase of Land and Construction of Houses, Hostels, Ambedkar Bhavan (Incl Prev yr Bal. Bills)</t>
  </si>
  <si>
    <t>045-17-000014</t>
  </si>
  <si>
    <t>Providing Street lights in ward no.45, Malleshwaram</t>
  </si>
  <si>
    <t>Sai Electric Com</t>
  </si>
  <si>
    <t>045-17-000034</t>
  </si>
  <si>
    <t>Digging of borwell and pumping machinery and pipeline at Subedarpalya area in ward no-45</t>
  </si>
  <si>
    <t>P1802</t>
  </si>
  <si>
    <t>Water Supply New Areas</t>
  </si>
  <si>
    <t>045-17-000033</t>
  </si>
  <si>
    <t>Digging of borwell and pumping machinery and pipeline at Karimandi slum (shifted) in ward no-45</t>
  </si>
  <si>
    <t>045-17-000032</t>
  </si>
  <si>
    <t>Digging of borwell and pumping machinery and pipeline at K N extn in ward no-45</t>
  </si>
  <si>
    <t>November</t>
  </si>
  <si>
    <t>December</t>
  </si>
  <si>
    <t>045-18-000019</t>
  </si>
  <si>
    <t>Providing Ro plant at Malleswaram in ward no-45</t>
  </si>
  <si>
    <t>045-18-000010</t>
  </si>
  <si>
    <t>Drilling of Borewell and providing mini water supply at in ward no45 malleswaram supply at ward no 45 5 nos x 5.00 Lakhs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</si>
</sst>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/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1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1587</v>
      </c>
      <c r="B2" s="6" t="s">
        <v>28</v>
      </c>
      <c r="C2" s="7">
        <v>43566</v>
      </c>
      <c r="D2" s="8">
        <v>45</v>
      </c>
      <c r="E2" s="9" t="s">
        <v>42</v>
      </c>
      <c r="F2" s="8" t="s">
        <v>43</v>
      </c>
      <c r="G2" s="9" t="s">
        <v>44</v>
      </c>
      <c r="H2" s="8" t="str">
        <f>"000229"</f>
        <v>000229</v>
      </c>
      <c r="I2" s="7">
        <v>43152</v>
      </c>
      <c r="J2" s="8" t="str">
        <f>"000085"</f>
        <v>000085</v>
      </c>
      <c r="K2" s="7">
        <v>43272</v>
      </c>
      <c r="L2" s="8" t="str">
        <f>"000096"</f>
        <v>000096</v>
      </c>
      <c r="M2" s="7">
        <v>43276</v>
      </c>
      <c r="N2" s="8">
        <v>17</v>
      </c>
      <c r="O2" s="8" t="str">
        <f>"000163"</f>
        <v>000163</v>
      </c>
      <c r="P2" s="7">
        <v>43563</v>
      </c>
      <c r="Q2" s="10">
        <v>92.529740000000004</v>
      </c>
      <c r="R2" s="10">
        <v>4.09145</v>
      </c>
      <c r="S2" s="10">
        <v>88.438289999999995</v>
      </c>
      <c r="T2" s="8">
        <v>11</v>
      </c>
      <c r="U2" s="7">
        <v>43566</v>
      </c>
      <c r="V2" s="8">
        <v>8022975610</v>
      </c>
      <c r="W2" s="9" t="s">
        <v>45</v>
      </c>
      <c r="X2" s="8" t="s">
        <v>46</v>
      </c>
      <c r="Y2" s="9" t="s">
        <v>47</v>
      </c>
      <c r="Z2" s="8" t="s">
        <v>48</v>
      </c>
      <c r="AA2" s="9" t="s">
        <v>49</v>
      </c>
      <c r="AB2" s="10">
        <f t="shared" ref="AB2:AB17" si="0">Q2/100</f>
        <v>0.92529740000000005</v>
      </c>
    </row>
    <row r="3" spans="1:28" s="4" customFormat="1" ht="13" x14ac:dyDescent="0.3">
      <c r="A3" s="5">
        <v>1588</v>
      </c>
      <c r="B3" s="6" t="s">
        <v>28</v>
      </c>
      <c r="C3" s="7">
        <v>43566</v>
      </c>
      <c r="D3" s="8">
        <v>45</v>
      </c>
      <c r="E3" s="9" t="s">
        <v>42</v>
      </c>
      <c r="F3" s="8" t="s">
        <v>50</v>
      </c>
      <c r="G3" s="9" t="s">
        <v>51</v>
      </c>
      <c r="H3" s="8" t="str">
        <f>"000037"</f>
        <v>000037</v>
      </c>
      <c r="I3" s="7">
        <v>43032</v>
      </c>
      <c r="J3" s="8" t="str">
        <f>"000011"</f>
        <v>000011</v>
      </c>
      <c r="K3" s="7">
        <v>43033</v>
      </c>
      <c r="L3" s="8" t="str">
        <f>"000013"</f>
        <v>000013</v>
      </c>
      <c r="M3" s="7">
        <v>43034</v>
      </c>
      <c r="N3" s="8">
        <v>12</v>
      </c>
      <c r="O3" s="8" t="str">
        <f>"007907"</f>
        <v>007907</v>
      </c>
      <c r="P3" s="7">
        <v>43054</v>
      </c>
      <c r="Q3" s="10">
        <v>82.908789999999996</v>
      </c>
      <c r="R3" s="10">
        <v>4.7526000000000002</v>
      </c>
      <c r="S3" s="10">
        <v>78.156189999999995</v>
      </c>
      <c r="T3" s="8">
        <v>15</v>
      </c>
      <c r="U3" s="7">
        <v>43566</v>
      </c>
      <c r="V3" s="8">
        <v>9686200428</v>
      </c>
      <c r="W3" s="9" t="s">
        <v>52</v>
      </c>
      <c r="X3" s="8" t="s">
        <v>35</v>
      </c>
      <c r="Y3" s="9" t="s">
        <v>36</v>
      </c>
      <c r="Z3" s="8" t="s">
        <v>48</v>
      </c>
      <c r="AA3" s="9" t="s">
        <v>49</v>
      </c>
      <c r="AB3" s="10">
        <f t="shared" si="0"/>
        <v>0.82908789999999999</v>
      </c>
    </row>
    <row r="4" spans="1:28" s="4" customFormat="1" ht="13" x14ac:dyDescent="0.3">
      <c r="A4" s="5">
        <v>1589</v>
      </c>
      <c r="B4" s="6" t="s">
        <v>28</v>
      </c>
      <c r="C4" s="7">
        <v>43566</v>
      </c>
      <c r="D4" s="8">
        <v>45</v>
      </c>
      <c r="E4" s="9" t="s">
        <v>42</v>
      </c>
      <c r="F4" s="8" t="s">
        <v>53</v>
      </c>
      <c r="G4" s="9" t="s">
        <v>54</v>
      </c>
      <c r="H4" s="8" t="str">
        <f>"000288"</f>
        <v>000288</v>
      </c>
      <c r="I4" s="7">
        <v>43386</v>
      </c>
      <c r="J4" s="8" t="str">
        <f>"000151"</f>
        <v>000151</v>
      </c>
      <c r="K4" s="7">
        <v>43407</v>
      </c>
      <c r="L4" s="8" t="str">
        <f>"000206"</f>
        <v>000206</v>
      </c>
      <c r="M4" s="7">
        <v>43423</v>
      </c>
      <c r="N4" s="8">
        <v>18</v>
      </c>
      <c r="O4" s="8" t="str">
        <f>"000292"</f>
        <v>000292</v>
      </c>
      <c r="P4" s="7">
        <v>43565</v>
      </c>
      <c r="Q4" s="10">
        <v>19.96265</v>
      </c>
      <c r="R4" s="10">
        <v>2.6804000000000001</v>
      </c>
      <c r="S4" s="10">
        <v>17.282250000000001</v>
      </c>
      <c r="T4" s="8">
        <v>15</v>
      </c>
      <c r="U4" s="7">
        <v>43566</v>
      </c>
      <c r="V4" s="8">
        <v>8022975610</v>
      </c>
      <c r="W4" s="9" t="s">
        <v>55</v>
      </c>
      <c r="X4" s="8" t="s">
        <v>35</v>
      </c>
      <c r="Y4" s="9" t="s">
        <v>36</v>
      </c>
      <c r="Z4" s="8" t="s">
        <v>48</v>
      </c>
      <c r="AA4" s="9" t="s">
        <v>49</v>
      </c>
      <c r="AB4" s="10">
        <f t="shared" si="0"/>
        <v>0.19962650000000001</v>
      </c>
    </row>
    <row r="5" spans="1:28" s="4" customFormat="1" ht="13" x14ac:dyDescent="0.3">
      <c r="A5" s="5">
        <v>1590</v>
      </c>
      <c r="B5" s="6" t="s">
        <v>28</v>
      </c>
      <c r="C5" s="7">
        <v>43566</v>
      </c>
      <c r="D5" s="8">
        <v>45</v>
      </c>
      <c r="E5" s="9" t="s">
        <v>42</v>
      </c>
      <c r="F5" s="8" t="s">
        <v>56</v>
      </c>
      <c r="G5" s="9" t="s">
        <v>57</v>
      </c>
      <c r="H5" s="8" t="str">
        <f>"000284"</f>
        <v>000284</v>
      </c>
      <c r="I5" s="7">
        <v>43383</v>
      </c>
      <c r="J5" s="8" t="str">
        <f>"000153"</f>
        <v>000153</v>
      </c>
      <c r="K5" s="7">
        <v>43407</v>
      </c>
      <c r="L5" s="8" t="str">
        <f>"000207"</f>
        <v>000207</v>
      </c>
      <c r="M5" s="7">
        <v>43423</v>
      </c>
      <c r="N5" s="8">
        <v>18</v>
      </c>
      <c r="O5" s="8" t="str">
        <f>"000293"</f>
        <v>000293</v>
      </c>
      <c r="P5" s="7">
        <v>43565</v>
      </c>
      <c r="Q5" s="10">
        <v>39.922220000000003</v>
      </c>
      <c r="R5" s="10">
        <v>5.0929000000000002</v>
      </c>
      <c r="S5" s="10">
        <v>34.829320000000003</v>
      </c>
      <c r="T5" s="8">
        <v>15</v>
      </c>
      <c r="U5" s="7">
        <v>43566</v>
      </c>
      <c r="V5" s="8">
        <v>8022975610</v>
      </c>
      <c r="W5" s="9" t="s">
        <v>58</v>
      </c>
      <c r="X5" s="8" t="s">
        <v>35</v>
      </c>
      <c r="Y5" s="9" t="s">
        <v>36</v>
      </c>
      <c r="Z5" s="8" t="s">
        <v>48</v>
      </c>
      <c r="AA5" s="9" t="s">
        <v>49</v>
      </c>
      <c r="AB5" s="10">
        <f t="shared" si="0"/>
        <v>0.39922220000000003</v>
      </c>
    </row>
    <row r="6" spans="1:28" s="4" customFormat="1" ht="13" x14ac:dyDescent="0.3">
      <c r="A6" s="5">
        <v>1591</v>
      </c>
      <c r="B6" s="6" t="s">
        <v>28</v>
      </c>
      <c r="C6" s="7">
        <v>43566</v>
      </c>
      <c r="D6" s="8">
        <v>45</v>
      </c>
      <c r="E6" s="9" t="s">
        <v>42</v>
      </c>
      <c r="F6" s="8" t="s">
        <v>59</v>
      </c>
      <c r="G6" s="9" t="s">
        <v>60</v>
      </c>
      <c r="H6" s="8" t="str">
        <f>"000289"</f>
        <v>000289</v>
      </c>
      <c r="I6" s="7">
        <v>43387</v>
      </c>
      <c r="J6" s="8" t="str">
        <f>"000150"</f>
        <v>000150</v>
      </c>
      <c r="K6" s="7">
        <v>43407</v>
      </c>
      <c r="L6" s="8" t="str">
        <f>"000208"</f>
        <v>000208</v>
      </c>
      <c r="M6" s="7">
        <v>43423</v>
      </c>
      <c r="N6" s="8">
        <v>18</v>
      </c>
      <c r="O6" s="8" t="str">
        <f>"000294"</f>
        <v>000294</v>
      </c>
      <c r="P6" s="7">
        <v>43565</v>
      </c>
      <c r="Q6" s="10">
        <v>19.979959999999998</v>
      </c>
      <c r="R6" s="10">
        <v>2.6819000000000002</v>
      </c>
      <c r="S6" s="10">
        <v>17.29806</v>
      </c>
      <c r="T6" s="8">
        <v>15</v>
      </c>
      <c r="U6" s="7">
        <v>43566</v>
      </c>
      <c r="V6" s="8">
        <v>8022975610</v>
      </c>
      <c r="W6" s="9" t="s">
        <v>55</v>
      </c>
      <c r="X6" s="8" t="s">
        <v>35</v>
      </c>
      <c r="Y6" s="9" t="s">
        <v>36</v>
      </c>
      <c r="Z6" s="8" t="s">
        <v>48</v>
      </c>
      <c r="AA6" s="9" t="s">
        <v>49</v>
      </c>
      <c r="AB6" s="10">
        <f t="shared" si="0"/>
        <v>0.19979959999999999</v>
      </c>
    </row>
    <row r="7" spans="1:28" s="4" customFormat="1" ht="13" x14ac:dyDescent="0.3">
      <c r="A7" s="5">
        <v>1592</v>
      </c>
      <c r="B7" s="6" t="s">
        <v>28</v>
      </c>
      <c r="C7" s="7">
        <v>43566</v>
      </c>
      <c r="D7" s="8">
        <v>45</v>
      </c>
      <c r="E7" s="9" t="s">
        <v>42</v>
      </c>
      <c r="F7" s="8" t="s">
        <v>61</v>
      </c>
      <c r="G7" s="9" t="s">
        <v>62</v>
      </c>
      <c r="H7" s="8" t="str">
        <f>"000290"</f>
        <v>000290</v>
      </c>
      <c r="I7" s="7">
        <v>43387</v>
      </c>
      <c r="J7" s="8" t="str">
        <f>"000148"</f>
        <v>000148</v>
      </c>
      <c r="K7" s="7">
        <v>43407</v>
      </c>
      <c r="L7" s="8" t="str">
        <f>"000209"</f>
        <v>000209</v>
      </c>
      <c r="M7" s="7">
        <v>43423</v>
      </c>
      <c r="N7" s="8">
        <v>18</v>
      </c>
      <c r="O7" s="8" t="str">
        <f>"000295"</f>
        <v>000295</v>
      </c>
      <c r="P7" s="7">
        <v>43565</v>
      </c>
      <c r="Q7" s="10">
        <v>19.937180000000001</v>
      </c>
      <c r="R7" s="10">
        <v>2.5478999999999998</v>
      </c>
      <c r="S7" s="10">
        <v>17.389279999999999</v>
      </c>
      <c r="T7" s="8">
        <v>15</v>
      </c>
      <c r="U7" s="7">
        <v>43566</v>
      </c>
      <c r="V7" s="8">
        <v>8022975610</v>
      </c>
      <c r="W7" s="9" t="s">
        <v>58</v>
      </c>
      <c r="X7" s="8" t="s">
        <v>35</v>
      </c>
      <c r="Y7" s="9" t="s">
        <v>36</v>
      </c>
      <c r="Z7" s="8" t="s">
        <v>48</v>
      </c>
      <c r="AA7" s="9" t="s">
        <v>49</v>
      </c>
      <c r="AB7" s="10">
        <f t="shared" si="0"/>
        <v>0.19937180000000002</v>
      </c>
    </row>
    <row r="8" spans="1:28" s="4" customFormat="1" ht="13" x14ac:dyDescent="0.3">
      <c r="A8" s="5">
        <v>1593</v>
      </c>
      <c r="B8" s="6" t="s">
        <v>28</v>
      </c>
      <c r="C8" s="7">
        <v>43566</v>
      </c>
      <c r="D8" s="8">
        <v>45</v>
      </c>
      <c r="E8" s="9" t="s">
        <v>42</v>
      </c>
      <c r="F8" s="8" t="s">
        <v>63</v>
      </c>
      <c r="G8" s="9" t="s">
        <v>64</v>
      </c>
      <c r="H8" s="8" t="str">
        <f>"000292"</f>
        <v>000292</v>
      </c>
      <c r="I8" s="7">
        <v>43387</v>
      </c>
      <c r="J8" s="8" t="str">
        <f>"000147"</f>
        <v>000147</v>
      </c>
      <c r="K8" s="7">
        <v>43407</v>
      </c>
      <c r="L8" s="8" t="str">
        <f>"000210"</f>
        <v>000210</v>
      </c>
      <c r="M8" s="7">
        <v>43423</v>
      </c>
      <c r="N8" s="8">
        <v>18</v>
      </c>
      <c r="O8" s="8" t="str">
        <f>"000296"</f>
        <v>000296</v>
      </c>
      <c r="P8" s="7">
        <v>43565</v>
      </c>
      <c r="Q8" s="10">
        <v>19.953749999999999</v>
      </c>
      <c r="R8" s="10">
        <v>2.5510999999999999</v>
      </c>
      <c r="S8" s="10">
        <v>17.402650000000001</v>
      </c>
      <c r="T8" s="8">
        <v>15</v>
      </c>
      <c r="U8" s="7">
        <v>43566</v>
      </c>
      <c r="V8" s="8">
        <v>8022975610</v>
      </c>
      <c r="W8" s="9" t="s">
        <v>55</v>
      </c>
      <c r="X8" s="8" t="s">
        <v>35</v>
      </c>
      <c r="Y8" s="9" t="s">
        <v>36</v>
      </c>
      <c r="Z8" s="8" t="s">
        <v>48</v>
      </c>
      <c r="AA8" s="9" t="s">
        <v>49</v>
      </c>
      <c r="AB8" s="10">
        <f t="shared" si="0"/>
        <v>0.19953750000000001</v>
      </c>
    </row>
    <row r="9" spans="1:28" s="4" customFormat="1" ht="13" x14ac:dyDescent="0.3">
      <c r="A9" s="5">
        <v>1594</v>
      </c>
      <c r="B9" s="6" t="s">
        <v>28</v>
      </c>
      <c r="C9" s="7">
        <v>43566</v>
      </c>
      <c r="D9" s="8">
        <v>45</v>
      </c>
      <c r="E9" s="9" t="s">
        <v>42</v>
      </c>
      <c r="F9" s="8" t="s">
        <v>65</v>
      </c>
      <c r="G9" s="9" t="s">
        <v>66</v>
      </c>
      <c r="H9" s="8" t="str">
        <f>"000291"</f>
        <v>000291</v>
      </c>
      <c r="I9" s="7">
        <v>43387</v>
      </c>
      <c r="J9" s="8" t="str">
        <f>"000149"</f>
        <v>000149</v>
      </c>
      <c r="K9" s="7">
        <v>43407</v>
      </c>
      <c r="L9" s="8" t="str">
        <f>"000211"</f>
        <v>000211</v>
      </c>
      <c r="M9" s="7">
        <v>43423</v>
      </c>
      <c r="N9" s="8">
        <v>18</v>
      </c>
      <c r="O9" s="8" t="str">
        <f>"000297"</f>
        <v>000297</v>
      </c>
      <c r="P9" s="7">
        <v>43565</v>
      </c>
      <c r="Q9" s="10">
        <v>19.971599999999999</v>
      </c>
      <c r="R9" s="10">
        <v>2.5503</v>
      </c>
      <c r="S9" s="10">
        <v>17.421299999999999</v>
      </c>
      <c r="T9" s="8">
        <v>15</v>
      </c>
      <c r="U9" s="7">
        <v>43566</v>
      </c>
      <c r="V9" s="8">
        <v>8022975610</v>
      </c>
      <c r="W9" s="9" t="s">
        <v>58</v>
      </c>
      <c r="X9" s="8" t="s">
        <v>35</v>
      </c>
      <c r="Y9" s="9" t="s">
        <v>36</v>
      </c>
      <c r="Z9" s="8" t="s">
        <v>48</v>
      </c>
      <c r="AA9" s="9" t="s">
        <v>49</v>
      </c>
      <c r="AB9" s="10">
        <f t="shared" si="0"/>
        <v>0.19971599999999998</v>
      </c>
    </row>
    <row r="10" spans="1:28" s="4" customFormat="1" ht="13" x14ac:dyDescent="0.3">
      <c r="A10" s="5">
        <v>1595</v>
      </c>
      <c r="B10" s="6" t="s">
        <v>28</v>
      </c>
      <c r="C10" s="7">
        <v>43566</v>
      </c>
      <c r="D10" s="8">
        <v>45</v>
      </c>
      <c r="E10" s="9" t="s">
        <v>42</v>
      </c>
      <c r="F10" s="8" t="s">
        <v>67</v>
      </c>
      <c r="G10" s="9" t="s">
        <v>68</v>
      </c>
      <c r="H10" s="8" t="str">
        <f>"000293"</f>
        <v>000293</v>
      </c>
      <c r="I10" s="7">
        <v>43387</v>
      </c>
      <c r="J10" s="8" t="str">
        <f>"000146"</f>
        <v>000146</v>
      </c>
      <c r="K10" s="7">
        <v>43407</v>
      </c>
      <c r="L10" s="8" t="str">
        <f>"000212"</f>
        <v>000212</v>
      </c>
      <c r="M10" s="7">
        <v>43423</v>
      </c>
      <c r="N10" s="8">
        <v>18</v>
      </c>
      <c r="O10" s="8" t="str">
        <f>"000298"</f>
        <v>000298</v>
      </c>
      <c r="P10" s="7">
        <v>43565</v>
      </c>
      <c r="Q10" s="10">
        <v>19.960190000000001</v>
      </c>
      <c r="R10" s="10">
        <v>2.6823000000000001</v>
      </c>
      <c r="S10" s="10">
        <v>17.277889999999999</v>
      </c>
      <c r="T10" s="8">
        <v>15</v>
      </c>
      <c r="U10" s="7">
        <v>43566</v>
      </c>
      <c r="V10" s="8">
        <v>8022975610</v>
      </c>
      <c r="W10" s="9" t="s">
        <v>58</v>
      </c>
      <c r="X10" s="8" t="s">
        <v>35</v>
      </c>
      <c r="Y10" s="9" t="s">
        <v>36</v>
      </c>
      <c r="Z10" s="8" t="s">
        <v>48</v>
      </c>
      <c r="AA10" s="9" t="s">
        <v>49</v>
      </c>
      <c r="AB10" s="10">
        <f t="shared" si="0"/>
        <v>0.1996019</v>
      </c>
    </row>
    <row r="11" spans="1:28" s="4" customFormat="1" ht="13" x14ac:dyDescent="0.3">
      <c r="A11" s="5">
        <v>1596</v>
      </c>
      <c r="B11" s="6" t="s">
        <v>28</v>
      </c>
      <c r="C11" s="7">
        <v>43566</v>
      </c>
      <c r="D11" s="8">
        <v>45</v>
      </c>
      <c r="E11" s="9" t="s">
        <v>42</v>
      </c>
      <c r="F11" s="8" t="s">
        <v>69</v>
      </c>
      <c r="G11" s="9" t="s">
        <v>70</v>
      </c>
      <c r="H11" s="8" t="str">
        <f>"000294"</f>
        <v>000294</v>
      </c>
      <c r="I11" s="7">
        <v>43387</v>
      </c>
      <c r="J11" s="8" t="str">
        <f>"000152"</f>
        <v>000152</v>
      </c>
      <c r="K11" s="7">
        <v>43407</v>
      </c>
      <c r="L11" s="8" t="str">
        <f>"000213"</f>
        <v>000213</v>
      </c>
      <c r="M11" s="7">
        <v>43423</v>
      </c>
      <c r="N11" s="8">
        <v>18</v>
      </c>
      <c r="O11" s="8" t="str">
        <f>"000299"</f>
        <v>000299</v>
      </c>
      <c r="P11" s="7">
        <v>43565</v>
      </c>
      <c r="Q11" s="10">
        <v>24.949169999999999</v>
      </c>
      <c r="R11" s="10">
        <v>3.1827000000000001</v>
      </c>
      <c r="S11" s="10">
        <v>21.766470000000002</v>
      </c>
      <c r="T11" s="8">
        <v>15</v>
      </c>
      <c r="U11" s="7">
        <v>43566</v>
      </c>
      <c r="V11" s="8">
        <v>8022975610</v>
      </c>
      <c r="W11" s="9" t="s">
        <v>58</v>
      </c>
      <c r="X11" s="8" t="s">
        <v>35</v>
      </c>
      <c r="Y11" s="9" t="s">
        <v>36</v>
      </c>
      <c r="Z11" s="8" t="s">
        <v>48</v>
      </c>
      <c r="AA11" s="9" t="s">
        <v>49</v>
      </c>
      <c r="AB11" s="10">
        <f t="shared" si="0"/>
        <v>0.24949169999999998</v>
      </c>
    </row>
    <row r="12" spans="1:28" s="4" customFormat="1" ht="13" x14ac:dyDescent="0.3">
      <c r="A12" s="5">
        <v>1597</v>
      </c>
      <c r="B12" s="6" t="s">
        <v>28</v>
      </c>
      <c r="C12" s="7">
        <v>43580</v>
      </c>
      <c r="D12" s="8">
        <v>45</v>
      </c>
      <c r="E12" s="9" t="s">
        <v>42</v>
      </c>
      <c r="F12" s="8" t="s">
        <v>71</v>
      </c>
      <c r="G12" s="9" t="s">
        <v>72</v>
      </c>
      <c r="H12" s="8" t="str">
        <f>"000030"</f>
        <v>000030</v>
      </c>
      <c r="I12" s="7">
        <v>42943</v>
      </c>
      <c r="J12" s="8" t="str">
        <f>"000209"</f>
        <v>000209</v>
      </c>
      <c r="K12" s="7">
        <v>43496</v>
      </c>
      <c r="L12" s="8" t="str">
        <f>"000204"</f>
        <v>000204</v>
      </c>
      <c r="M12" s="7">
        <v>43497</v>
      </c>
      <c r="N12" s="8">
        <v>16</v>
      </c>
      <c r="O12" s="8" t="str">
        <f>"000971"</f>
        <v>000971</v>
      </c>
      <c r="P12" s="7">
        <v>43579</v>
      </c>
      <c r="Q12" s="10">
        <v>11.68756</v>
      </c>
      <c r="R12" s="10">
        <v>1.1554</v>
      </c>
      <c r="S12" s="10">
        <v>10.532159999999999</v>
      </c>
      <c r="T12" s="8">
        <v>29</v>
      </c>
      <c r="U12" s="7">
        <v>43580</v>
      </c>
      <c r="V12" s="8">
        <v>9845008155</v>
      </c>
      <c r="W12" s="9" t="s">
        <v>39</v>
      </c>
      <c r="X12" s="8" t="s">
        <v>29</v>
      </c>
      <c r="Y12" s="9" t="s">
        <v>30</v>
      </c>
      <c r="Z12" s="8" t="s">
        <v>40</v>
      </c>
      <c r="AA12" s="9" t="s">
        <v>41</v>
      </c>
      <c r="AB12" s="10">
        <f t="shared" si="0"/>
        <v>0.1168756</v>
      </c>
    </row>
    <row r="13" spans="1:28" s="4" customFormat="1" ht="13" x14ac:dyDescent="0.3">
      <c r="A13" s="5">
        <v>1598</v>
      </c>
      <c r="B13" s="6" t="s">
        <v>34</v>
      </c>
      <c r="C13" s="7">
        <v>43591</v>
      </c>
      <c r="D13" s="8">
        <v>45</v>
      </c>
      <c r="E13" s="9" t="s">
        <v>42</v>
      </c>
      <c r="F13" s="8" t="s">
        <v>78</v>
      </c>
      <c r="G13" s="9" t="s">
        <v>79</v>
      </c>
      <c r="H13" s="8" t="str">
        <f>"000017"</f>
        <v>000017</v>
      </c>
      <c r="I13" s="7">
        <v>43556</v>
      </c>
      <c r="J13" s="8" t="str">
        <f>"000001"</f>
        <v>000001</v>
      </c>
      <c r="K13" s="7">
        <v>42937</v>
      </c>
      <c r="L13" s="8" t="str">
        <f>"000001"</f>
        <v>000001</v>
      </c>
      <c r="M13" s="7">
        <v>42937</v>
      </c>
      <c r="N13" s="8">
        <v>17</v>
      </c>
      <c r="O13" s="8" t="str">
        <f>"001195"</f>
        <v>001195</v>
      </c>
      <c r="P13" s="7">
        <v>43582</v>
      </c>
      <c r="Q13" s="10">
        <v>41.887790000000003</v>
      </c>
      <c r="R13" s="10">
        <v>1.5024599999999999</v>
      </c>
      <c r="S13" s="10">
        <v>40.385330000000003</v>
      </c>
      <c r="T13" s="8">
        <v>37</v>
      </c>
      <c r="U13" s="7">
        <v>43591</v>
      </c>
      <c r="V13" s="8">
        <v>8022975610</v>
      </c>
      <c r="W13" s="9" t="s">
        <v>80</v>
      </c>
      <c r="X13" s="8" t="s">
        <v>32</v>
      </c>
      <c r="Y13" s="9" t="s">
        <v>33</v>
      </c>
      <c r="Z13" s="8" t="s">
        <v>48</v>
      </c>
      <c r="AA13" s="9" t="s">
        <v>49</v>
      </c>
      <c r="AB13" s="10">
        <f t="shared" si="0"/>
        <v>0.41887790000000003</v>
      </c>
    </row>
    <row r="14" spans="1:28" s="4" customFormat="1" ht="13" x14ac:dyDescent="0.3">
      <c r="A14" s="5">
        <v>1599</v>
      </c>
      <c r="B14" s="6" t="s">
        <v>34</v>
      </c>
      <c r="C14" s="7">
        <v>43594</v>
      </c>
      <c r="D14" s="8">
        <v>45</v>
      </c>
      <c r="E14" s="9" t="s">
        <v>42</v>
      </c>
      <c r="F14" s="8" t="s">
        <v>81</v>
      </c>
      <c r="G14" s="9" t="s">
        <v>82</v>
      </c>
      <c r="H14" s="8" t="str">
        <f>"000033"</f>
        <v>000033</v>
      </c>
      <c r="I14" s="7">
        <v>43230</v>
      </c>
      <c r="J14" s="8" t="str">
        <f>"000176"</f>
        <v>000176</v>
      </c>
      <c r="K14" s="7">
        <v>43495</v>
      </c>
      <c r="L14" s="8" t="str">
        <f>"000274"</f>
        <v>000274</v>
      </c>
      <c r="M14" s="7">
        <v>43531</v>
      </c>
      <c r="N14" s="8">
        <v>17</v>
      </c>
      <c r="O14" s="8" t="str">
        <f>"001358"</f>
        <v>001358</v>
      </c>
      <c r="P14" s="7">
        <v>43593</v>
      </c>
      <c r="Q14" s="10">
        <v>25.947839999999999</v>
      </c>
      <c r="R14" s="10">
        <v>1.3873899999999999</v>
      </c>
      <c r="S14" s="10">
        <v>24.560449999999999</v>
      </c>
      <c r="T14" s="8">
        <v>40</v>
      </c>
      <c r="U14" s="7">
        <v>43594</v>
      </c>
      <c r="V14" s="8">
        <v>8022975610</v>
      </c>
      <c r="W14" s="9" t="s">
        <v>83</v>
      </c>
      <c r="X14" s="8" t="s">
        <v>37</v>
      </c>
      <c r="Y14" s="9" t="s">
        <v>38</v>
      </c>
      <c r="Z14" s="8" t="s">
        <v>48</v>
      </c>
      <c r="AA14" s="9" t="s">
        <v>49</v>
      </c>
      <c r="AB14" s="10">
        <f t="shared" si="0"/>
        <v>0.2594784</v>
      </c>
    </row>
    <row r="15" spans="1:28" s="4" customFormat="1" ht="13" x14ac:dyDescent="0.3">
      <c r="A15" s="5">
        <v>1600</v>
      </c>
      <c r="B15" s="6" t="s">
        <v>34</v>
      </c>
      <c r="C15" s="7">
        <v>43615</v>
      </c>
      <c r="D15" s="8">
        <v>45</v>
      </c>
      <c r="E15" s="9" t="s">
        <v>42</v>
      </c>
      <c r="F15" s="8" t="s">
        <v>84</v>
      </c>
      <c r="G15" s="9" t="s">
        <v>85</v>
      </c>
      <c r="H15" s="8" t="str">
        <f>"000060"</f>
        <v>000060</v>
      </c>
      <c r="I15" s="7">
        <v>43041</v>
      </c>
      <c r="J15" s="8" t="str">
        <f>"000028"</f>
        <v>000028</v>
      </c>
      <c r="K15" s="7">
        <v>43041</v>
      </c>
      <c r="L15" s="8" t="str">
        <f>"000033"</f>
        <v>000033</v>
      </c>
      <c r="M15" s="7">
        <v>43042</v>
      </c>
      <c r="N15" s="8">
        <v>17</v>
      </c>
      <c r="O15" s="8" t="str">
        <f>"002107"</f>
        <v>002107</v>
      </c>
      <c r="P15" s="7">
        <v>43613</v>
      </c>
      <c r="Q15" s="10">
        <v>5.0106900000000003</v>
      </c>
      <c r="R15" s="10">
        <v>0.53139999999999998</v>
      </c>
      <c r="S15" s="10">
        <v>4.4792899999999998</v>
      </c>
      <c r="T15" s="8">
        <v>65</v>
      </c>
      <c r="U15" s="7">
        <v>43615</v>
      </c>
      <c r="V15" s="8">
        <v>8022975610</v>
      </c>
      <c r="W15" s="9" t="s">
        <v>86</v>
      </c>
      <c r="X15" s="8" t="s">
        <v>32</v>
      </c>
      <c r="Y15" s="9" t="s">
        <v>33</v>
      </c>
      <c r="Z15" s="8" t="s">
        <v>48</v>
      </c>
      <c r="AA15" s="9" t="s">
        <v>49</v>
      </c>
      <c r="AB15" s="10">
        <f t="shared" si="0"/>
        <v>5.0106900000000003E-2</v>
      </c>
    </row>
    <row r="16" spans="1:28" s="4" customFormat="1" ht="13" x14ac:dyDescent="0.3">
      <c r="A16" s="5">
        <v>1601</v>
      </c>
      <c r="B16" s="6" t="s">
        <v>34</v>
      </c>
      <c r="C16" s="7">
        <v>43615</v>
      </c>
      <c r="D16" s="8">
        <v>45</v>
      </c>
      <c r="E16" s="9" t="s">
        <v>42</v>
      </c>
      <c r="F16" s="8" t="s">
        <v>87</v>
      </c>
      <c r="G16" s="9" t="s">
        <v>85</v>
      </c>
      <c r="H16" s="8" t="str">
        <f>"000057"</f>
        <v>000057</v>
      </c>
      <c r="I16" s="7">
        <v>43039</v>
      </c>
      <c r="J16" s="8" t="str">
        <f>"000026"</f>
        <v>000026</v>
      </c>
      <c r="K16" s="7">
        <v>43039</v>
      </c>
      <c r="L16" s="8" t="str">
        <f>"000034"</f>
        <v>000034</v>
      </c>
      <c r="M16" s="7">
        <v>43042</v>
      </c>
      <c r="N16" s="8">
        <v>17</v>
      </c>
      <c r="O16" s="8" t="str">
        <f>"002108"</f>
        <v>002108</v>
      </c>
      <c r="P16" s="7">
        <v>43613</v>
      </c>
      <c r="Q16" s="10">
        <v>5.0163000000000002</v>
      </c>
      <c r="R16" s="10">
        <v>0.53202000000000005</v>
      </c>
      <c r="S16" s="10">
        <v>4.48428</v>
      </c>
      <c r="T16" s="8">
        <v>65</v>
      </c>
      <c r="U16" s="7">
        <v>43615</v>
      </c>
      <c r="V16" s="8">
        <v>9880054606</v>
      </c>
      <c r="W16" s="9" t="s">
        <v>88</v>
      </c>
      <c r="X16" s="8" t="s">
        <v>32</v>
      </c>
      <c r="Y16" s="9" t="s">
        <v>33</v>
      </c>
      <c r="Z16" s="8" t="s">
        <v>48</v>
      </c>
      <c r="AA16" s="9" t="s">
        <v>49</v>
      </c>
      <c r="AB16" s="10">
        <f t="shared" si="0"/>
        <v>5.0162999999999999E-2</v>
      </c>
    </row>
    <row r="17" spans="1:28" s="4" customFormat="1" ht="13" x14ac:dyDescent="0.3">
      <c r="A17" s="5">
        <v>1602</v>
      </c>
      <c r="B17" s="6" t="s">
        <v>34</v>
      </c>
      <c r="C17" s="7">
        <v>43615</v>
      </c>
      <c r="D17" s="8">
        <v>45</v>
      </c>
      <c r="E17" s="9" t="s">
        <v>42</v>
      </c>
      <c r="F17" s="8" t="s">
        <v>89</v>
      </c>
      <c r="G17" s="9" t="s">
        <v>90</v>
      </c>
      <c r="H17" s="8" t="str">
        <f>"000078"</f>
        <v>000078</v>
      </c>
      <c r="I17" s="7">
        <v>42429</v>
      </c>
      <c r="J17" s="8" t="str">
        <f>"000009"</f>
        <v>000009</v>
      </c>
      <c r="K17" s="7">
        <v>42886</v>
      </c>
      <c r="L17" s="8" t="str">
        <f>"000046"</f>
        <v>000046</v>
      </c>
      <c r="M17" s="7">
        <v>42886</v>
      </c>
      <c r="N17" s="8">
        <v>16</v>
      </c>
      <c r="O17" s="8" t="str">
        <f>"002185"</f>
        <v>002185</v>
      </c>
      <c r="P17" s="7">
        <v>43613</v>
      </c>
      <c r="Q17" s="10">
        <v>4.5714600000000001</v>
      </c>
      <c r="R17" s="10">
        <v>0.36899999999999999</v>
      </c>
      <c r="S17" s="10">
        <v>4.2024600000000003</v>
      </c>
      <c r="T17" s="8">
        <v>65</v>
      </c>
      <c r="U17" s="7">
        <v>43615</v>
      </c>
      <c r="V17" s="8">
        <v>8022975610</v>
      </c>
      <c r="W17" s="9" t="s">
        <v>91</v>
      </c>
      <c r="X17" s="8" t="s">
        <v>32</v>
      </c>
      <c r="Y17" s="9" t="s">
        <v>33</v>
      </c>
      <c r="Z17" s="8" t="s">
        <v>48</v>
      </c>
      <c r="AA17" s="9" t="s">
        <v>49</v>
      </c>
      <c r="AB17" s="10">
        <f t="shared" si="0"/>
        <v>4.5714600000000001E-2</v>
      </c>
    </row>
    <row r="18" spans="1:28" s="4" customFormat="1" ht="13" x14ac:dyDescent="0.3">
      <c r="A18" s="5">
        <v>1603</v>
      </c>
      <c r="B18" s="6" t="s">
        <v>31</v>
      </c>
      <c r="C18" s="7">
        <v>43628</v>
      </c>
      <c r="D18" s="8">
        <v>45</v>
      </c>
      <c r="E18" s="9" t="s">
        <v>42</v>
      </c>
      <c r="F18" s="8" t="s">
        <v>73</v>
      </c>
      <c r="G18" s="9" t="s">
        <v>74</v>
      </c>
      <c r="H18" s="8" t="str">
        <f>"000338"</f>
        <v>000338</v>
      </c>
      <c r="I18" s="7">
        <v>43477</v>
      </c>
      <c r="J18" s="8" t="str">
        <f>"000006"</f>
        <v>000006</v>
      </c>
      <c r="K18" s="7">
        <v>43635</v>
      </c>
      <c r="L18" s="8" t="str">
        <f>""</f>
        <v/>
      </c>
      <c r="M18" s="7"/>
      <c r="N18" s="8">
        <v>13</v>
      </c>
      <c r="O18" s="8" t="str">
        <f>""</f>
        <v/>
      </c>
      <c r="P18" s="7"/>
      <c r="Q18" s="10">
        <v>90.991900000000001</v>
      </c>
      <c r="R18" s="10">
        <v>5.7315199999999997</v>
      </c>
      <c r="S18" s="10">
        <v>85.260379999999998</v>
      </c>
      <c r="T18" s="8">
        <v>77</v>
      </c>
      <c r="U18" s="7">
        <v>43628</v>
      </c>
      <c r="V18" s="8">
        <v>8022975610</v>
      </c>
      <c r="W18" s="9" t="s">
        <v>75</v>
      </c>
      <c r="X18" s="8" t="s">
        <v>76</v>
      </c>
      <c r="Y18" s="9" t="s">
        <v>77</v>
      </c>
      <c r="Z18" s="8" t="s">
        <v>48</v>
      </c>
      <c r="AA18" s="9" t="s">
        <v>49</v>
      </c>
      <c r="AB18" s="10">
        <v>0.90991900000000003</v>
      </c>
    </row>
    <row r="19" spans="1:28" s="4" customFormat="1" ht="13" x14ac:dyDescent="0.3">
      <c r="A19" s="5">
        <v>1604</v>
      </c>
      <c r="B19" s="6" t="s">
        <v>92</v>
      </c>
      <c r="C19" s="7">
        <v>43647</v>
      </c>
      <c r="D19" s="8">
        <v>45</v>
      </c>
      <c r="E19" s="9" t="s">
        <v>42</v>
      </c>
      <c r="F19" s="8" t="s">
        <v>93</v>
      </c>
      <c r="G19" s="11" t="s">
        <v>94</v>
      </c>
      <c r="H19" s="8" t="str">
        <f>"000251"</f>
        <v>000251</v>
      </c>
      <c r="I19" s="7">
        <v>43311</v>
      </c>
      <c r="J19" s="8" t="str">
        <f>"000191"</f>
        <v>000191</v>
      </c>
      <c r="K19" s="7">
        <v>43531</v>
      </c>
      <c r="L19" s="8" t="str">
        <f>"000007"</f>
        <v>000007</v>
      </c>
      <c r="M19" s="7">
        <v>43585</v>
      </c>
      <c r="N19" s="8">
        <v>18</v>
      </c>
      <c r="O19" s="8" t="str">
        <f>"002965"</f>
        <v>002965</v>
      </c>
      <c r="P19" s="7">
        <v>43640</v>
      </c>
      <c r="Q19" s="12">
        <v>38.114849999999997</v>
      </c>
      <c r="R19" s="12">
        <v>4.3610800000000003</v>
      </c>
      <c r="S19" s="12">
        <v>33.753770000000003</v>
      </c>
      <c r="T19" s="8">
        <v>97</v>
      </c>
      <c r="U19" s="7">
        <v>43647</v>
      </c>
      <c r="V19" s="8">
        <v>8022975610</v>
      </c>
      <c r="W19" s="11" t="s">
        <v>95</v>
      </c>
      <c r="X19" s="8" t="s">
        <v>35</v>
      </c>
      <c r="Y19" s="11" t="s">
        <v>36</v>
      </c>
      <c r="Z19" s="8" t="s">
        <v>48</v>
      </c>
      <c r="AA19" s="11" t="s">
        <v>49</v>
      </c>
      <c r="AB19" s="12">
        <f t="shared" ref="AB19:AB30" si="1">Q19/100</f>
        <v>0.38114849999999995</v>
      </c>
    </row>
    <row r="20" spans="1:28" s="4" customFormat="1" ht="13" x14ac:dyDescent="0.3">
      <c r="A20" s="5">
        <v>1605</v>
      </c>
      <c r="B20" s="6" t="s">
        <v>92</v>
      </c>
      <c r="C20" s="7">
        <v>43647</v>
      </c>
      <c r="D20" s="8">
        <v>45</v>
      </c>
      <c r="E20" s="9" t="s">
        <v>42</v>
      </c>
      <c r="F20" s="8" t="s">
        <v>96</v>
      </c>
      <c r="G20" s="11" t="s">
        <v>97</v>
      </c>
      <c r="H20" s="8" t="str">
        <f>"000228"</f>
        <v>000228</v>
      </c>
      <c r="I20" s="7">
        <v>43151</v>
      </c>
      <c r="J20" s="8" t="str">
        <f>"000045"</f>
        <v>000045</v>
      </c>
      <c r="K20" s="7">
        <v>43153</v>
      </c>
      <c r="L20" s="8" t="str">
        <f>"000119"</f>
        <v>000119</v>
      </c>
      <c r="M20" s="7">
        <v>43162</v>
      </c>
      <c r="N20" s="8">
        <v>17</v>
      </c>
      <c r="O20" s="8" t="str">
        <f>"002981"</f>
        <v>002981</v>
      </c>
      <c r="P20" s="7">
        <v>43640</v>
      </c>
      <c r="Q20" s="12">
        <v>10.77875</v>
      </c>
      <c r="R20" s="12">
        <v>0.47439999999999999</v>
      </c>
      <c r="S20" s="12">
        <v>10.304349999999999</v>
      </c>
      <c r="T20" s="8">
        <v>100</v>
      </c>
      <c r="U20" s="7">
        <v>43647</v>
      </c>
      <c r="V20" s="8">
        <v>8022975610</v>
      </c>
      <c r="W20" s="11" t="s">
        <v>98</v>
      </c>
      <c r="X20" s="8" t="s">
        <v>32</v>
      </c>
      <c r="Y20" s="11" t="s">
        <v>33</v>
      </c>
      <c r="Z20" s="8" t="s">
        <v>48</v>
      </c>
      <c r="AA20" s="11" t="s">
        <v>49</v>
      </c>
      <c r="AB20" s="12">
        <f t="shared" si="1"/>
        <v>0.10778750000000001</v>
      </c>
    </row>
    <row r="21" spans="1:28" s="4" customFormat="1" ht="13" x14ac:dyDescent="0.3">
      <c r="A21" s="5">
        <v>1606</v>
      </c>
      <c r="B21" s="6" t="s">
        <v>92</v>
      </c>
      <c r="C21" s="7">
        <v>43658</v>
      </c>
      <c r="D21" s="8">
        <v>45</v>
      </c>
      <c r="E21" s="9" t="s">
        <v>42</v>
      </c>
      <c r="F21" s="8" t="s">
        <v>99</v>
      </c>
      <c r="G21" s="11" t="s">
        <v>100</v>
      </c>
      <c r="H21" s="8" t="str">
        <f>"000365"</f>
        <v>000365</v>
      </c>
      <c r="I21" s="7">
        <v>43543</v>
      </c>
      <c r="J21" s="8" t="str">
        <f>"000193"</f>
        <v>000193</v>
      </c>
      <c r="K21" s="7">
        <v>43547</v>
      </c>
      <c r="L21" s="8" t="str">
        <f>"000013"</f>
        <v>000013</v>
      </c>
      <c r="M21" s="7">
        <v>43601</v>
      </c>
      <c r="N21" s="8">
        <v>11</v>
      </c>
      <c r="O21" s="8" t="str">
        <f>"003314"</f>
        <v>003314</v>
      </c>
      <c r="P21" s="7">
        <v>43650</v>
      </c>
      <c r="Q21" s="12">
        <v>12.518000000000001</v>
      </c>
      <c r="R21" s="12">
        <v>1.3320000000000001</v>
      </c>
      <c r="S21" s="12">
        <v>11.186</v>
      </c>
      <c r="T21" s="8">
        <v>112</v>
      </c>
      <c r="U21" s="7">
        <v>43658</v>
      </c>
      <c r="V21" s="8">
        <v>8022975610</v>
      </c>
      <c r="W21" s="11" t="s">
        <v>101</v>
      </c>
      <c r="X21" s="8" t="s">
        <v>35</v>
      </c>
      <c r="Y21" s="11" t="s">
        <v>36</v>
      </c>
      <c r="Z21" s="8" t="s">
        <v>48</v>
      </c>
      <c r="AA21" s="11" t="s">
        <v>49</v>
      </c>
      <c r="AB21" s="12">
        <f t="shared" si="1"/>
        <v>0.12518000000000001</v>
      </c>
    </row>
    <row r="22" spans="1:28" s="4" customFormat="1" ht="13" x14ac:dyDescent="0.3">
      <c r="A22" s="5">
        <v>1607</v>
      </c>
      <c r="B22" s="6" t="s">
        <v>92</v>
      </c>
      <c r="C22" s="7">
        <v>43677</v>
      </c>
      <c r="D22" s="8">
        <v>45</v>
      </c>
      <c r="E22" s="9" t="s">
        <v>42</v>
      </c>
      <c r="F22" s="8" t="s">
        <v>102</v>
      </c>
      <c r="G22" s="11" t="s">
        <v>103</v>
      </c>
      <c r="H22" s="8" t="str">
        <f>"000038"</f>
        <v>000038</v>
      </c>
      <c r="I22" s="7">
        <v>41839</v>
      </c>
      <c r="J22" s="8" t="str">
        <f>"000094"</f>
        <v>000094</v>
      </c>
      <c r="K22" s="7">
        <v>43300</v>
      </c>
      <c r="L22" s="8" t="str">
        <f>"000122"</f>
        <v>000122</v>
      </c>
      <c r="M22" s="7">
        <v>43311</v>
      </c>
      <c r="N22" s="8">
        <v>11</v>
      </c>
      <c r="O22" s="8" t="str">
        <f>"004093"</f>
        <v>004093</v>
      </c>
      <c r="P22" s="7">
        <v>43672</v>
      </c>
      <c r="Q22" s="12">
        <v>80.466200000000001</v>
      </c>
      <c r="R22" s="12">
        <v>9.5129999999999999</v>
      </c>
      <c r="S22" s="12">
        <v>70.953199999999995</v>
      </c>
      <c r="T22" s="8">
        <v>136</v>
      </c>
      <c r="U22" s="7">
        <v>43677</v>
      </c>
      <c r="V22" s="8">
        <v>8951089714</v>
      </c>
      <c r="W22" s="11" t="s">
        <v>104</v>
      </c>
      <c r="X22" s="8" t="s">
        <v>105</v>
      </c>
      <c r="Y22" s="11" t="s">
        <v>106</v>
      </c>
      <c r="Z22" s="8" t="s">
        <v>48</v>
      </c>
      <c r="AA22" s="11" t="s">
        <v>49</v>
      </c>
      <c r="AB22" s="12">
        <f t="shared" si="1"/>
        <v>0.80466199999999999</v>
      </c>
    </row>
    <row r="23" spans="1:28" s="4" customFormat="1" ht="13" x14ac:dyDescent="0.3">
      <c r="A23" s="5">
        <v>1608</v>
      </c>
      <c r="B23" s="6" t="s">
        <v>107</v>
      </c>
      <c r="C23" s="7">
        <v>43690</v>
      </c>
      <c r="D23" s="8">
        <v>45</v>
      </c>
      <c r="E23" s="9" t="s">
        <v>42</v>
      </c>
      <c r="F23" s="8" t="s">
        <v>50</v>
      </c>
      <c r="G23" s="11" t="s">
        <v>51</v>
      </c>
      <c r="H23" s="8" t="str">
        <f>"000037"</f>
        <v>000037</v>
      </c>
      <c r="I23" s="7">
        <v>43032</v>
      </c>
      <c r="J23" s="8" t="str">
        <f>"000011"</f>
        <v>000011</v>
      </c>
      <c r="K23" s="7">
        <v>43033</v>
      </c>
      <c r="L23" s="8" t="str">
        <f>"000013"</f>
        <v>000013</v>
      </c>
      <c r="M23" s="7">
        <v>43034</v>
      </c>
      <c r="N23" s="8">
        <v>12</v>
      </c>
      <c r="O23" s="8" t="str">
        <f>"007907"</f>
        <v>007907</v>
      </c>
      <c r="P23" s="7">
        <v>43054</v>
      </c>
      <c r="Q23" s="12">
        <v>19.826090000000001</v>
      </c>
      <c r="R23" s="12">
        <v>1.95994</v>
      </c>
      <c r="S23" s="12">
        <v>17.866150000000001</v>
      </c>
      <c r="T23" s="8">
        <v>152</v>
      </c>
      <c r="U23" s="7">
        <v>43690</v>
      </c>
      <c r="V23" s="8">
        <v>9686200428</v>
      </c>
      <c r="W23" s="11" t="s">
        <v>52</v>
      </c>
      <c r="X23" s="8" t="s">
        <v>35</v>
      </c>
      <c r="Y23" s="11" t="s">
        <v>36</v>
      </c>
      <c r="Z23" s="8" t="s">
        <v>48</v>
      </c>
      <c r="AA23" s="11" t="s">
        <v>49</v>
      </c>
      <c r="AB23" s="12">
        <f t="shared" si="1"/>
        <v>0.19826090000000002</v>
      </c>
    </row>
    <row r="24" spans="1:28" s="4" customFormat="1" ht="13" x14ac:dyDescent="0.3">
      <c r="A24" s="5">
        <v>1609</v>
      </c>
      <c r="B24" s="6" t="s">
        <v>107</v>
      </c>
      <c r="C24" s="7">
        <v>43694</v>
      </c>
      <c r="D24" s="8">
        <v>45</v>
      </c>
      <c r="E24" s="9" t="s">
        <v>42</v>
      </c>
      <c r="F24" s="8" t="s">
        <v>108</v>
      </c>
      <c r="G24" s="11" t="s">
        <v>109</v>
      </c>
      <c r="H24" s="8" t="str">
        <f>"000127"</f>
        <v>000127</v>
      </c>
      <c r="I24" s="7">
        <v>43302</v>
      </c>
      <c r="J24" s="8" t="str">
        <f>"000112"</f>
        <v>000112</v>
      </c>
      <c r="K24" s="7">
        <v>43326</v>
      </c>
      <c r="L24" s="8" t="str">
        <f>"000144"</f>
        <v>000144</v>
      </c>
      <c r="M24" s="7">
        <v>43335</v>
      </c>
      <c r="N24" s="8">
        <v>16</v>
      </c>
      <c r="O24" s="8" t="str">
        <f>"004536"</f>
        <v>004536</v>
      </c>
      <c r="P24" s="7">
        <v>43693</v>
      </c>
      <c r="Q24" s="12">
        <v>98.402100000000004</v>
      </c>
      <c r="R24" s="12">
        <v>48.402099999999997</v>
      </c>
      <c r="S24" s="12">
        <v>50</v>
      </c>
      <c r="T24" s="8">
        <v>156</v>
      </c>
      <c r="U24" s="7">
        <v>43694</v>
      </c>
      <c r="V24" s="8">
        <v>8022975610</v>
      </c>
      <c r="W24" s="11" t="s">
        <v>110</v>
      </c>
      <c r="X24" s="8" t="s">
        <v>111</v>
      </c>
      <c r="Y24" s="11" t="s">
        <v>112</v>
      </c>
      <c r="Z24" s="8" t="s">
        <v>48</v>
      </c>
      <c r="AA24" s="11" t="s">
        <v>49</v>
      </c>
      <c r="AB24" s="12">
        <f t="shared" si="1"/>
        <v>0.98402100000000003</v>
      </c>
    </row>
    <row r="25" spans="1:28" s="4" customFormat="1" ht="13" x14ac:dyDescent="0.3">
      <c r="A25" s="5">
        <v>1610</v>
      </c>
      <c r="B25" s="6" t="s">
        <v>113</v>
      </c>
      <c r="C25" s="7">
        <v>43719</v>
      </c>
      <c r="D25" s="8">
        <v>45</v>
      </c>
      <c r="E25" s="9" t="s">
        <v>42</v>
      </c>
      <c r="F25" s="8" t="s">
        <v>71</v>
      </c>
      <c r="G25" s="11" t="s">
        <v>114</v>
      </c>
      <c r="H25" s="8" t="str">
        <f>"000030"</f>
        <v>000030</v>
      </c>
      <c r="I25" s="7">
        <v>42943</v>
      </c>
      <c r="J25" s="8" t="str">
        <f>"000082"</f>
        <v>000082</v>
      </c>
      <c r="K25" s="7">
        <v>43763</v>
      </c>
      <c r="L25" s="8" t="str">
        <f>"000079"</f>
        <v>000079</v>
      </c>
      <c r="M25" s="7">
        <v>43763</v>
      </c>
      <c r="N25" s="8">
        <v>16</v>
      </c>
      <c r="O25" s="8" t="str">
        <f>"006204"</f>
        <v>006204</v>
      </c>
      <c r="P25" s="7">
        <v>43782</v>
      </c>
      <c r="Q25" s="12">
        <v>6.3886700000000003</v>
      </c>
      <c r="R25" s="12">
        <v>0.63154999999999994</v>
      </c>
      <c r="S25" s="12">
        <v>5.7571199999999996</v>
      </c>
      <c r="T25" s="8">
        <v>179</v>
      </c>
      <c r="U25" s="7">
        <v>43719</v>
      </c>
      <c r="V25" s="8">
        <v>9845008155</v>
      </c>
      <c r="W25" s="11" t="s">
        <v>39</v>
      </c>
      <c r="X25" s="8" t="s">
        <v>29</v>
      </c>
      <c r="Y25" s="11" t="s">
        <v>30</v>
      </c>
      <c r="Z25" s="8" t="s">
        <v>40</v>
      </c>
      <c r="AA25" s="11" t="s">
        <v>41</v>
      </c>
      <c r="AB25" s="12">
        <f t="shared" si="1"/>
        <v>6.3886700000000005E-2</v>
      </c>
    </row>
    <row r="26" spans="1:28" s="4" customFormat="1" ht="13" x14ac:dyDescent="0.3">
      <c r="A26" s="5">
        <v>1611</v>
      </c>
      <c r="B26" s="6" t="s">
        <v>113</v>
      </c>
      <c r="C26" s="7">
        <v>43719</v>
      </c>
      <c r="D26" s="8">
        <v>45</v>
      </c>
      <c r="E26" s="9" t="s">
        <v>42</v>
      </c>
      <c r="F26" s="8" t="s">
        <v>73</v>
      </c>
      <c r="G26" s="11" t="s">
        <v>74</v>
      </c>
      <c r="H26" s="8" t="str">
        <f>"000338"</f>
        <v>000338</v>
      </c>
      <c r="I26" s="7">
        <v>43477</v>
      </c>
      <c r="J26" s="8" t="str">
        <f>"000006"</f>
        <v>000006</v>
      </c>
      <c r="K26" s="7">
        <v>43635</v>
      </c>
      <c r="L26" s="8" t="str">
        <f>"000029"</f>
        <v>000029</v>
      </c>
      <c r="M26" s="7">
        <v>43662</v>
      </c>
      <c r="N26" s="8">
        <v>13</v>
      </c>
      <c r="O26" s="8" t="str">
        <f>"004565"</f>
        <v>004565</v>
      </c>
      <c r="P26" s="7">
        <v>43694</v>
      </c>
      <c r="Q26" s="12">
        <v>30.95618</v>
      </c>
      <c r="R26" s="12">
        <v>2.3239100000000001</v>
      </c>
      <c r="S26" s="12">
        <v>28.632269999999998</v>
      </c>
      <c r="T26" s="8">
        <v>181</v>
      </c>
      <c r="U26" s="7">
        <v>43719</v>
      </c>
      <c r="V26" s="8">
        <v>8022975610</v>
      </c>
      <c r="W26" s="11" t="s">
        <v>75</v>
      </c>
      <c r="X26" s="8" t="s">
        <v>76</v>
      </c>
      <c r="Y26" s="11" t="s">
        <v>115</v>
      </c>
      <c r="Z26" s="8" t="s">
        <v>48</v>
      </c>
      <c r="AA26" s="11" t="s">
        <v>49</v>
      </c>
      <c r="AB26" s="12">
        <f t="shared" si="1"/>
        <v>0.3095618</v>
      </c>
    </row>
    <row r="27" spans="1:28" s="4" customFormat="1" ht="13" x14ac:dyDescent="0.3">
      <c r="A27" s="5">
        <v>1612</v>
      </c>
      <c r="B27" s="6" t="s">
        <v>113</v>
      </c>
      <c r="C27" s="7">
        <v>43729</v>
      </c>
      <c r="D27" s="8">
        <v>45</v>
      </c>
      <c r="E27" s="9" t="s">
        <v>42</v>
      </c>
      <c r="F27" s="8" t="s">
        <v>116</v>
      </c>
      <c r="G27" s="11" t="s">
        <v>117</v>
      </c>
      <c r="H27" s="8" t="str">
        <f>"000042"</f>
        <v>000042</v>
      </c>
      <c r="I27" s="7">
        <v>42945</v>
      </c>
      <c r="J27" s="8" t="str">
        <f>"000012"</f>
        <v>000012</v>
      </c>
      <c r="K27" s="7">
        <v>43197</v>
      </c>
      <c r="L27" s="8" t="str">
        <f>"000014"</f>
        <v>000014</v>
      </c>
      <c r="M27" s="7">
        <v>43197</v>
      </c>
      <c r="N27" s="8">
        <v>17</v>
      </c>
      <c r="O27" s="8" t="str">
        <f>"005026"</f>
        <v>005026</v>
      </c>
      <c r="P27" s="7">
        <v>43719</v>
      </c>
      <c r="Q27" s="12">
        <v>3.2334000000000001</v>
      </c>
      <c r="R27" s="12">
        <v>0.35814000000000001</v>
      </c>
      <c r="S27" s="12">
        <v>2.8752599999999999</v>
      </c>
      <c r="T27" s="8">
        <v>194</v>
      </c>
      <c r="U27" s="7">
        <v>43729</v>
      </c>
      <c r="V27" s="8">
        <v>9845351993</v>
      </c>
      <c r="W27" s="11" t="s">
        <v>118</v>
      </c>
      <c r="X27" s="8" t="s">
        <v>32</v>
      </c>
      <c r="Y27" s="11" t="s">
        <v>33</v>
      </c>
      <c r="Z27" s="8" t="s">
        <v>40</v>
      </c>
      <c r="AA27" s="11" t="s">
        <v>41</v>
      </c>
      <c r="AB27" s="12">
        <f t="shared" si="1"/>
        <v>3.2334000000000002E-2</v>
      </c>
    </row>
    <row r="28" spans="1:28" s="4" customFormat="1" ht="13" x14ac:dyDescent="0.3">
      <c r="A28" s="5">
        <v>1613</v>
      </c>
      <c r="B28" s="6" t="s">
        <v>113</v>
      </c>
      <c r="C28" s="7">
        <v>43729</v>
      </c>
      <c r="D28" s="8">
        <v>45</v>
      </c>
      <c r="E28" s="9" t="s">
        <v>42</v>
      </c>
      <c r="F28" s="8" t="s">
        <v>119</v>
      </c>
      <c r="G28" s="11" t="s">
        <v>120</v>
      </c>
      <c r="H28" s="8" t="str">
        <f>"000133"</f>
        <v>000133</v>
      </c>
      <c r="I28" s="7">
        <v>43306</v>
      </c>
      <c r="J28" s="8" t="str">
        <f>"000107"</f>
        <v>000107</v>
      </c>
      <c r="K28" s="7">
        <v>43315</v>
      </c>
      <c r="L28" s="8" t="str">
        <f>"000132"</f>
        <v>000132</v>
      </c>
      <c r="M28" s="7">
        <v>43328</v>
      </c>
      <c r="N28" s="8">
        <v>17</v>
      </c>
      <c r="O28" s="8" t="str">
        <f>"005180"</f>
        <v>005180</v>
      </c>
      <c r="P28" s="7">
        <v>43726</v>
      </c>
      <c r="Q28" s="12">
        <v>4.9897099999999996</v>
      </c>
      <c r="R28" s="12">
        <v>0.40579999999999999</v>
      </c>
      <c r="S28" s="12">
        <v>4.5839100000000004</v>
      </c>
      <c r="T28" s="8">
        <v>195</v>
      </c>
      <c r="U28" s="7">
        <v>43729</v>
      </c>
      <c r="V28" s="8">
        <v>8022975610</v>
      </c>
      <c r="W28" s="11" t="s">
        <v>95</v>
      </c>
      <c r="X28" s="8" t="s">
        <v>121</v>
      </c>
      <c r="Y28" s="11" t="s">
        <v>122</v>
      </c>
      <c r="Z28" s="8" t="s">
        <v>48</v>
      </c>
      <c r="AA28" s="11" t="s">
        <v>49</v>
      </c>
      <c r="AB28" s="12">
        <f t="shared" si="1"/>
        <v>4.98971E-2</v>
      </c>
    </row>
    <row r="29" spans="1:28" s="4" customFormat="1" ht="13" x14ac:dyDescent="0.3">
      <c r="A29" s="5">
        <v>1614</v>
      </c>
      <c r="B29" s="6" t="s">
        <v>113</v>
      </c>
      <c r="C29" s="7">
        <v>43729</v>
      </c>
      <c r="D29" s="8">
        <v>45</v>
      </c>
      <c r="E29" s="9" t="s">
        <v>42</v>
      </c>
      <c r="F29" s="8" t="s">
        <v>123</v>
      </c>
      <c r="G29" s="11" t="s">
        <v>124</v>
      </c>
      <c r="H29" s="8" t="str">
        <f>"000132"</f>
        <v>000132</v>
      </c>
      <c r="I29" s="7">
        <v>43306</v>
      </c>
      <c r="J29" s="8" t="str">
        <f>"000108"</f>
        <v>000108</v>
      </c>
      <c r="K29" s="7">
        <v>43315</v>
      </c>
      <c r="L29" s="8" t="str">
        <f>"000133"</f>
        <v>000133</v>
      </c>
      <c r="M29" s="7">
        <v>43328</v>
      </c>
      <c r="N29" s="8">
        <v>17</v>
      </c>
      <c r="O29" s="8" t="str">
        <f>"005181"</f>
        <v>005181</v>
      </c>
      <c r="P29" s="7">
        <v>43726</v>
      </c>
      <c r="Q29" s="12">
        <v>4.9921899999999999</v>
      </c>
      <c r="R29" s="12">
        <v>0.38140000000000002</v>
      </c>
      <c r="S29" s="12">
        <v>4.6107899999999997</v>
      </c>
      <c r="T29" s="8">
        <v>195</v>
      </c>
      <c r="U29" s="7">
        <v>43729</v>
      </c>
      <c r="V29" s="8">
        <v>8022975610</v>
      </c>
      <c r="W29" s="11" t="s">
        <v>95</v>
      </c>
      <c r="X29" s="8" t="s">
        <v>121</v>
      </c>
      <c r="Y29" s="11" t="s">
        <v>122</v>
      </c>
      <c r="Z29" s="8" t="s">
        <v>48</v>
      </c>
      <c r="AA29" s="11" t="s">
        <v>49</v>
      </c>
      <c r="AB29" s="12">
        <f t="shared" si="1"/>
        <v>4.9921899999999998E-2</v>
      </c>
    </row>
    <row r="30" spans="1:28" s="4" customFormat="1" ht="13" x14ac:dyDescent="0.3">
      <c r="A30" s="5">
        <v>1615</v>
      </c>
      <c r="B30" s="6" t="s">
        <v>113</v>
      </c>
      <c r="C30" s="7">
        <v>43729</v>
      </c>
      <c r="D30" s="8">
        <v>45</v>
      </c>
      <c r="E30" s="9" t="s">
        <v>42</v>
      </c>
      <c r="F30" s="8" t="s">
        <v>125</v>
      </c>
      <c r="G30" s="11" t="s">
        <v>126</v>
      </c>
      <c r="H30" s="8" t="str">
        <f>"000131"</f>
        <v>000131</v>
      </c>
      <c r="I30" s="7">
        <v>43305</v>
      </c>
      <c r="J30" s="8" t="str">
        <f>"000109"</f>
        <v>000109</v>
      </c>
      <c r="K30" s="7">
        <v>43315</v>
      </c>
      <c r="L30" s="8" t="str">
        <f>"000134"</f>
        <v>000134</v>
      </c>
      <c r="M30" s="7">
        <v>43328</v>
      </c>
      <c r="N30" s="8">
        <v>17</v>
      </c>
      <c r="O30" s="8" t="str">
        <f>"005182"</f>
        <v>005182</v>
      </c>
      <c r="P30" s="7">
        <v>43726</v>
      </c>
      <c r="Q30" s="12">
        <v>4.9897099999999996</v>
      </c>
      <c r="R30" s="12">
        <v>0.40579999999999999</v>
      </c>
      <c r="S30" s="12">
        <v>4.5839100000000004</v>
      </c>
      <c r="T30" s="8">
        <v>195</v>
      </c>
      <c r="U30" s="7">
        <v>43729</v>
      </c>
      <c r="V30" s="8">
        <v>8022975610</v>
      </c>
      <c r="W30" s="11" t="s">
        <v>110</v>
      </c>
      <c r="X30" s="8" t="s">
        <v>121</v>
      </c>
      <c r="Y30" s="11" t="s">
        <v>122</v>
      </c>
      <c r="Z30" s="8" t="s">
        <v>48</v>
      </c>
      <c r="AA30" s="11" t="s">
        <v>49</v>
      </c>
      <c r="AB30" s="12">
        <f t="shared" si="1"/>
        <v>4.98971E-2</v>
      </c>
    </row>
    <row r="31" spans="1:28" s="4" customFormat="1" ht="13" x14ac:dyDescent="0.3">
      <c r="A31" s="5">
        <v>1616</v>
      </c>
      <c r="B31" s="6" t="s">
        <v>127</v>
      </c>
      <c r="C31" s="7">
        <v>43789</v>
      </c>
      <c r="D31" s="5">
        <v>45</v>
      </c>
      <c r="E31" s="9" t="s">
        <v>42</v>
      </c>
      <c r="F31" s="8" t="s">
        <v>71</v>
      </c>
      <c r="G31" s="9" t="s">
        <v>72</v>
      </c>
      <c r="H31" s="8" t="str">
        <f>"000030"</f>
        <v>000030</v>
      </c>
      <c r="I31" s="7">
        <v>42943</v>
      </c>
      <c r="J31" s="8" t="str">
        <f>"000082"</f>
        <v>000082</v>
      </c>
      <c r="K31" s="7">
        <v>43763</v>
      </c>
      <c r="L31" s="8" t="str">
        <f>"000079"</f>
        <v>000079</v>
      </c>
      <c r="M31" s="7">
        <v>43763</v>
      </c>
      <c r="N31" s="8">
        <v>16</v>
      </c>
      <c r="O31" s="8" t="str">
        <f>"006204"</f>
        <v>006204</v>
      </c>
      <c r="P31" s="7">
        <v>43782</v>
      </c>
      <c r="Q31" s="10">
        <v>3.8140100000000001</v>
      </c>
      <c r="R31" s="10">
        <v>0.37702999999999998</v>
      </c>
      <c r="S31" s="10">
        <v>3.4369800000000001</v>
      </c>
      <c r="T31" s="8">
        <v>13</v>
      </c>
      <c r="U31" s="7">
        <v>43789</v>
      </c>
      <c r="V31" s="8">
        <v>9845008155</v>
      </c>
      <c r="W31" s="9" t="s">
        <v>39</v>
      </c>
      <c r="X31" s="8" t="s">
        <v>29</v>
      </c>
      <c r="Y31" s="9" t="s">
        <v>30</v>
      </c>
      <c r="Z31" s="8" t="s">
        <v>40</v>
      </c>
      <c r="AA31" s="9" t="s">
        <v>41</v>
      </c>
      <c r="AB31" s="10">
        <v>3.8140100000000003E-2</v>
      </c>
    </row>
    <row r="32" spans="1:28" s="4" customFormat="1" ht="13" x14ac:dyDescent="0.3">
      <c r="A32" s="5">
        <v>1617</v>
      </c>
      <c r="B32" s="6" t="s">
        <v>128</v>
      </c>
      <c r="C32" s="7">
        <v>43801</v>
      </c>
      <c r="D32" s="5">
        <v>45</v>
      </c>
      <c r="E32" s="9" t="s">
        <v>42</v>
      </c>
      <c r="F32" s="8" t="s">
        <v>129</v>
      </c>
      <c r="G32" s="9" t="s">
        <v>130</v>
      </c>
      <c r="H32" s="8" t="str">
        <f>"000002"</f>
        <v>000002</v>
      </c>
      <c r="I32" s="7">
        <v>43192</v>
      </c>
      <c r="J32" s="8" t="str">
        <f>"000020"</f>
        <v>000020</v>
      </c>
      <c r="K32" s="7">
        <v>43682</v>
      </c>
      <c r="L32" s="8" t="str">
        <f>"000053"</f>
        <v>000053</v>
      </c>
      <c r="M32" s="7">
        <v>43706</v>
      </c>
      <c r="N32" s="8">
        <v>18</v>
      </c>
      <c r="O32" s="8" t="str">
        <f>"006416"</f>
        <v>006416</v>
      </c>
      <c r="P32" s="7">
        <v>43795</v>
      </c>
      <c r="Q32" s="10">
        <v>19.582229999999999</v>
      </c>
      <c r="R32" s="10">
        <v>2.0501999999999998</v>
      </c>
      <c r="S32" s="10">
        <v>17.532029999999999</v>
      </c>
      <c r="T32" s="8">
        <v>13</v>
      </c>
      <c r="U32" s="7">
        <v>43801</v>
      </c>
      <c r="V32" s="8">
        <v>8022975610</v>
      </c>
      <c r="W32" s="9" t="s">
        <v>95</v>
      </c>
      <c r="X32" s="8" t="s">
        <v>35</v>
      </c>
      <c r="Y32" s="9" t="s">
        <v>36</v>
      </c>
      <c r="Z32" s="8" t="s">
        <v>48</v>
      </c>
      <c r="AA32" s="9" t="s">
        <v>49</v>
      </c>
      <c r="AB32" s="10">
        <v>0.1958223</v>
      </c>
    </row>
    <row r="33" spans="1:28" s="4" customFormat="1" ht="13" x14ac:dyDescent="0.3">
      <c r="A33" s="5">
        <v>1618</v>
      </c>
      <c r="B33" s="6" t="s">
        <v>128</v>
      </c>
      <c r="C33" s="7">
        <v>43801</v>
      </c>
      <c r="D33" s="5">
        <v>45</v>
      </c>
      <c r="E33" s="9" t="s">
        <v>42</v>
      </c>
      <c r="F33" s="8" t="s">
        <v>131</v>
      </c>
      <c r="G33" s="9" t="s">
        <v>132</v>
      </c>
      <c r="H33" s="8" t="str">
        <f>"000248"</f>
        <v>000248</v>
      </c>
      <c r="I33" s="7">
        <v>43169</v>
      </c>
      <c r="J33" s="8" t="str">
        <f>"000019"</f>
        <v>000019</v>
      </c>
      <c r="K33" s="7">
        <v>43682</v>
      </c>
      <c r="L33" s="8" t="str">
        <f>"000054"</f>
        <v>000054</v>
      </c>
      <c r="M33" s="7">
        <v>43706</v>
      </c>
      <c r="N33" s="8">
        <v>18</v>
      </c>
      <c r="O33" s="8" t="str">
        <f>"006417"</f>
        <v>006417</v>
      </c>
      <c r="P33" s="7">
        <v>43795</v>
      </c>
      <c r="Q33" s="10">
        <v>24.12379</v>
      </c>
      <c r="R33" s="10">
        <v>2.4944500000000001</v>
      </c>
      <c r="S33" s="10">
        <v>21.629339999999999</v>
      </c>
      <c r="T33" s="8">
        <v>13</v>
      </c>
      <c r="U33" s="7">
        <v>43801</v>
      </c>
      <c r="V33" s="8">
        <v>8022975610</v>
      </c>
      <c r="W33" s="9" t="s">
        <v>110</v>
      </c>
      <c r="X33" s="8" t="s">
        <v>35</v>
      </c>
      <c r="Y33" s="9" t="s">
        <v>36</v>
      </c>
      <c r="Z33" s="8" t="s">
        <v>48</v>
      </c>
      <c r="AA33" s="9" t="s">
        <v>49</v>
      </c>
      <c r="AB33" s="10">
        <v>0.24123790000000001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2020-01-28T11:47:21Z</dcterms:modified>
</cp:coreProperties>
</file>