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0" i="1" l="1"/>
  <c r="L50" i="1"/>
  <c r="J50" i="1"/>
  <c r="H50" i="1"/>
  <c r="O49" i="1"/>
  <c r="L49" i="1"/>
  <c r="J49" i="1"/>
  <c r="H49" i="1"/>
  <c r="O48" i="1"/>
  <c r="L48" i="1"/>
  <c r="J48" i="1"/>
  <c r="H48" i="1"/>
  <c r="O47" i="1"/>
  <c r="L47" i="1"/>
  <c r="J47" i="1"/>
  <c r="H47" i="1"/>
  <c r="O46" i="1"/>
  <c r="L46" i="1"/>
  <c r="J46" i="1"/>
  <c r="H46" i="1"/>
  <c r="O45" i="1"/>
  <c r="L45" i="1"/>
  <c r="J45" i="1"/>
  <c r="H45" i="1"/>
  <c r="O44" i="1"/>
  <c r="L44" i="1"/>
  <c r="J44" i="1"/>
  <c r="H44" i="1"/>
  <c r="O43" i="1"/>
  <c r="L43" i="1"/>
  <c r="J43" i="1"/>
  <c r="H43" i="1"/>
  <c r="O42" i="1"/>
  <c r="L42" i="1"/>
  <c r="J42" i="1"/>
  <c r="H42" i="1"/>
  <c r="O41" i="1"/>
  <c r="L41" i="1"/>
  <c r="J41" i="1"/>
  <c r="H41" i="1"/>
  <c r="AB40" i="1"/>
  <c r="O40" i="1"/>
  <c r="L40" i="1"/>
  <c r="J40" i="1"/>
  <c r="H40" i="1"/>
  <c r="AB39" i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O17" i="1"/>
  <c r="L17" i="1"/>
  <c r="J17" i="1"/>
  <c r="H17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<sst xmlns="http://schemas.openxmlformats.org/spreadsheetml/2006/main" count="469" uniqueCount="162">
  <si>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</si>
  <si>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</si>
  <si>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</si>
  <si>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</si>
  <si>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</si>
  <si>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</si>
  <si>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</si>
  <si>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</si>
  <si>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</si>
  <si>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</si>
  <si>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</si>
  <si>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</si>
  <si>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</si>
  <si>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</si>
  <si>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</si>
  <si>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</si>
  <si>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</si>
  <si>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</si>
  <si>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</si>
  <si>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</si>
  <si>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</si>
  <si>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</si>
  <si>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</si>
  <si>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</si>
  <si>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</si>
  <si>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</si>
  <si>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</si>
  <si>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</si>
  <si>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</si>
  <si>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</si>
  <si>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</si>
  <si>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</si>
  <si>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May</t>
  </si>
  <si>
    <t>P1878</t>
  </si>
  <si>
    <t>18per - Works (Bhagyajyothi, Sooru / Neeru Yojane and General) (54 Lakhs / New Wards)</t>
  </si>
  <si>
    <t>KRIDL</t>
  </si>
  <si>
    <t>P3110</t>
  </si>
  <si>
    <t>14th Finance Commission Grant Works</t>
  </si>
  <si>
    <t xml:space="preserve">M/s KRIDL 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</si>
  <si>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</si>
  <si>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</si>
  <si>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ddo089</t>
  </si>
  <si>
    <t xml:space="preserve"> Assistant Executive Engineer Electrical East Zone</t>
  </si>
  <si>
    <t>Devara Jeevanahalli</t>
  </si>
  <si>
    <t>047-14-000067</t>
  </si>
  <si>
    <t>Improvements to Existing Road from Peryier Circle to Anand Theatre in Ward no-47</t>
  </si>
  <si>
    <t>P2434</t>
  </si>
  <si>
    <t>Development works for Bangalore City</t>
  </si>
  <si>
    <t>ddo080</t>
  </si>
  <si>
    <t xml:space="preserve"> Assistant Executive Engineer Pulikeshinagar East Zone</t>
  </si>
  <si>
    <t>047-14-000075</t>
  </si>
  <si>
    <t>Desilting and improvements to drain in ward no 47 D J Halli</t>
  </si>
  <si>
    <t>047-18-000087</t>
  </si>
  <si>
    <t>ASPHALTING TO DINNUR MAIN ROAD FROM P AND T QUATRES TO DEVEGOWDA ROAD IN WARD NO 47 DJ HALLI</t>
  </si>
  <si>
    <t>047-18-000088</t>
  </si>
  <si>
    <t>ASPHALTING TO KB SANDRA CROSS ROAD FROM PAND T QUATRES TO GOVT KANNADA SCHOOL IN WARD NO 47 DJ HALLI</t>
  </si>
  <si>
    <t>047-18-000089</t>
  </si>
  <si>
    <t>ASPHALTOING TO NP FACTORY ROAD IN WARD NO 47 DJ HALLI</t>
  </si>
  <si>
    <t>047-18-000093</t>
  </si>
  <si>
    <t>ASPHALTING TO INDIRA MEMORIAL SCHOOL ROAD FROM SRINIVASANAGAR TO BURIAL GROUND IN WARD NO 47 DJ HALLI</t>
  </si>
  <si>
    <t>047-16-000002</t>
  </si>
  <si>
    <t>Operation and Maintenance of street lights at Devarajeevana halli and Muneshwara nagara area ward no,s 47 and 48 Package E 8 for one year.</t>
  </si>
  <si>
    <t>M/s Lakshmikantha Electricals</t>
  </si>
  <si>
    <t>047-18-000101</t>
  </si>
  <si>
    <t>improvements to drains and roads at indirapuram in ward no 47 dj halli</t>
  </si>
  <si>
    <t>047-18-000099</t>
  </si>
  <si>
    <t>IMPROVEMENTS TO DRAINS AND ROADS AT MUNIMARAPPA GARDEN IN WARD NO 47 DJ HALLI</t>
  </si>
  <si>
    <t>047-18-000105</t>
  </si>
  <si>
    <t>CONSTRUCTION OF ANGANAWADI ROOMS IN WARD NO 47 DJ HALLI</t>
  </si>
  <si>
    <t>047-17-000059</t>
  </si>
  <si>
    <t>Providing CC Camera at Garbage Black Spots in BBMP Limits in ward no 47</t>
  </si>
  <si>
    <t>B.N. Gururaj</t>
  </si>
  <si>
    <t>047-18-000058</t>
  </si>
  <si>
    <t>Providing Dust Bin and improvements to drain at Kayam Garden crosses surrounding in ward no 47 D J halli</t>
  </si>
  <si>
    <t>P3298</t>
  </si>
  <si>
    <t>14th Finance Commission Works - SWM Works</t>
  </si>
  <si>
    <t>047-18-000057</t>
  </si>
  <si>
    <t>Providing Dust Bin and improvements to drain at Modi Garden surrounding in ward no 47 D J halli</t>
  </si>
  <si>
    <t>047-17-000004</t>
  </si>
  <si>
    <t>Providing grill to compound wall surrounding Edga Maoholla in ward no 47</t>
  </si>
  <si>
    <t>Devanand</t>
  </si>
  <si>
    <t>July</t>
  </si>
  <si>
    <t>047-17-000008</t>
  </si>
  <si>
    <t>Providing concrete to south side cross roads of Murugan temple in ward no 47</t>
  </si>
  <si>
    <t>M.S. Venkatesh</t>
  </si>
  <si>
    <t>047-17-000049</t>
  </si>
  <si>
    <t>Improvements to Footpath around karnataka public school and new park in ward no.47, D.Jhalli</t>
  </si>
  <si>
    <t>R. Arun Mnoraj</t>
  </si>
  <si>
    <t>P1771</t>
  </si>
  <si>
    <t>Zone Works - POW Works</t>
  </si>
  <si>
    <t>047-15-000027</t>
  </si>
  <si>
    <t>IMPROVEMENTS TO EAST SIDE OF DRAIN AT DEVEGOWDA ROAD FROM PETROL BUNK TO GARAGE SHOPS IN WARD NO 47</t>
  </si>
  <si>
    <t>B.V. Muniraju</t>
  </si>
  <si>
    <t>047-15-000022</t>
  </si>
  <si>
    <t>IMPROVEMENTS TO DRAIN AT MUNINAGAPPA LAYOUT MAIN ROAD WEST SIDE IN WARD NO 47 D J HALLI</t>
  </si>
  <si>
    <t>047-17-000005</t>
  </si>
  <si>
    <t>Providing gate and Improvements near Govt Urdu School premises at Edga Mohalla in ward no 47</t>
  </si>
  <si>
    <t>B.S. Nayana</t>
  </si>
  <si>
    <t>047-18-000039</t>
  </si>
  <si>
    <t>Providing and drinking water pipe line and restoration work at N.P. Factory road and surrounding in ward no 47 D J halli</t>
  </si>
  <si>
    <t>P3293</t>
  </si>
  <si>
    <t>14th Finance Commission Works - Drinking Water</t>
  </si>
  <si>
    <t>047-18-000045</t>
  </si>
  <si>
    <t>Providing and drinking water pipe line and restoration work at Hussenia Masjid road and surrounding in ward no 47 D J halli</t>
  </si>
  <si>
    <t>047-18-000042</t>
  </si>
  <si>
    <t>Providing and drinking water pipe line and restoration work at Khayum Garden and surrounding in ward no 47 D J halli</t>
  </si>
  <si>
    <t>047-18-000037</t>
  </si>
  <si>
    <t>Providing and drinking water pipe line and restoration work at Bangaragirinagar and surrounding in ward no 47 D J halli</t>
  </si>
  <si>
    <t>047-18-000040</t>
  </si>
  <si>
    <t>Providing and drinking water pipe line and restoration work at Masjid road and surrounding in ward no 47 D J halli</t>
  </si>
  <si>
    <t>047-18-000041</t>
  </si>
  <si>
    <t>Providing and drinking water pipe line and restoration work at Modi Garden road and surrounding in ward no 47 D J halli</t>
  </si>
  <si>
    <t>047-18-000060</t>
  </si>
  <si>
    <t>Providing and drinking water pipe line and restoration work in ward no 47 D J halli</t>
  </si>
  <si>
    <t>047-18-000038</t>
  </si>
  <si>
    <t>Providing and drinking water pipe line and restoration work at Sugar mandi srinivasa nagara and surrounding in ward no 47 D J halli</t>
  </si>
  <si>
    <t>047-18-000043</t>
  </si>
  <si>
    <t>Providing and drinking water pipe line and restoration work at Modi Garden near Karnataka public school road in ward no 47 D J halli</t>
  </si>
  <si>
    <t>047-18-000036</t>
  </si>
  <si>
    <t>Providing and drinking water pipe line and restoration work at Murugan Temple road and surrounding in ward no 47 D J halli</t>
  </si>
  <si>
    <t>047-17-000042</t>
  </si>
  <si>
    <t>Improvements to Srinivas nagar 3rd internal cross roads and drains and surroundings in ward no.47 D.J.Halli</t>
  </si>
  <si>
    <t>J.V. Manjunath Reddy</t>
  </si>
  <si>
    <t>047-17-000041</t>
  </si>
  <si>
    <t>Improvements to Srinivas nagar 1st, 2nd cross roads and surroundings in ward no.47 D.J.Halli</t>
  </si>
  <si>
    <t>047-17-000011</t>
  </si>
  <si>
    <t xml:space="preserve"> Providing concrete to thangamalai nagar 6th cross and surroundings cross roads in ward no 47</t>
  </si>
  <si>
    <t>047-17-000020</t>
  </si>
  <si>
    <t>Improvements to Drains and roads next to Indra memorial school and 4th cross Doddanna nagar in ward no 47 D J Halli</t>
  </si>
  <si>
    <t>P3120</t>
  </si>
  <si>
    <t>Developmental works at ward 47, 57, 63, 66, 68 , 154 and 171, 33, 9, (Rs.2 Cr each)</t>
  </si>
  <si>
    <t>August</t>
  </si>
  <si>
    <t>047-15-000028</t>
  </si>
  <si>
    <t>IMPROVEMENTS TO DRAIN AT MODI GARDEN 5TH AND 6TH AND SURROUNDING CROSSES IN WARD NO 47 D J HALLI</t>
  </si>
  <si>
    <t>Arun Manoraj</t>
  </si>
  <si>
    <t>047-17-000045</t>
  </si>
  <si>
    <t>Improvements to Drains and roads surrounding Selvi house, andbehind Solapuriyamma temple in ward no.47, D.J.Halli</t>
  </si>
  <si>
    <t>R. Arun Manoraj</t>
  </si>
  <si>
    <t>September</t>
  </si>
  <si>
    <t>October</t>
  </si>
  <si>
    <t>047-18-000051</t>
  </si>
  <si>
    <t>Providing UGD works and Asphalting to muninagappa layout surrounding in ward no 47 D J halli</t>
  </si>
  <si>
    <t>P3295</t>
  </si>
  <si>
    <t>14th Finance Commission Works - UGD Works</t>
  </si>
  <si>
    <t>December</t>
  </si>
  <si>
    <t>047-17-000051</t>
  </si>
  <si>
    <t>IMPROVEMENTS TO ROADS AND DRAINS SURROUNDINGS NANDINI GALLI</t>
  </si>
  <si>
    <t>047-17-000009</t>
  </si>
  <si>
    <t>Providing concrete to cross roads below edga east side compound and surroundings in ward no 47</t>
  </si>
  <si>
    <t>047-17-000007</t>
  </si>
  <si>
    <t>Improvements to roads from modi road to burial ground in ward 47</t>
  </si>
  <si>
    <t>047-16-000003</t>
  </si>
  <si>
    <t>IMPROVEMENTS TO CULVERTS SURROUNDING MODI MASJID AND HUSSANIA MASJID AREA IN WARD NO 47 DJ HALLI</t>
  </si>
  <si>
    <t>V. Shankaranarayana</t>
  </si>
  <si>
    <t>047-16-000004</t>
  </si>
  <si>
    <t>IMPROVEMENTS TO CULVERTS SURROUNDING SRINIVAS NAGAR SUGAR MANDI AND MARKET MAIN ROAD AREA IN WARD NO 47 DJ HALLI</t>
  </si>
  <si>
    <t>047-18-000104</t>
  </si>
  <si>
    <t>ASPHALTING TO MODI GARDEN AND SSURROUNDING AREAS IN WARD NO 47 DJ HALLI</t>
  </si>
  <si>
    <t>047-18-000094</t>
  </si>
  <si>
    <t>ASPHALTING TO 3RD CROSS MODIGARDEN IN WARD NO 47 DJ HALLI</t>
  </si>
  <si>
    <t>047-18-000090</t>
  </si>
  <si>
    <t>ASPHALTING TO MODI GARDEN 4TH CROSS IN WARD NO 47 DJ HALLI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</si>
</sst>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tabSelected="1" workbookViewId="0">
      <selection activeCell="C50" sqref="C50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8.6328125" bestFit="1" customWidth="1"/>
    <col min="4" max="4" width="8.08984375" bestFit="1" customWidth="1"/>
    <col min="5" max="5" width="16.26953125" bestFit="1" customWidth="1"/>
    <col min="6" max="6" width="12.0898437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1639</v>
      </c>
      <c r="B2" s="6" t="s">
        <v>28</v>
      </c>
      <c r="C2" s="7">
        <v>43566</v>
      </c>
      <c r="D2" s="8">
        <v>47</v>
      </c>
      <c r="E2" s="9" t="s">
        <v>43</v>
      </c>
      <c r="F2" s="8" t="s">
        <v>44</v>
      </c>
      <c r="G2" s="9" t="s">
        <v>45</v>
      </c>
      <c r="H2" s="8" t="str">
        <f>"000363"</f>
        <v>000363</v>
      </c>
      <c r="I2" s="7">
        <v>41701</v>
      </c>
      <c r="J2" s="8" t="str">
        <f>"000065"</f>
        <v>000065</v>
      </c>
      <c r="K2" s="7">
        <v>42916</v>
      </c>
      <c r="L2" s="8" t="str">
        <f>"000160"</f>
        <v>000160</v>
      </c>
      <c r="M2" s="7">
        <v>42916</v>
      </c>
      <c r="N2" s="8">
        <v>14</v>
      </c>
      <c r="O2" s="8" t="str">
        <f>"000095"</f>
        <v>000095</v>
      </c>
      <c r="P2" s="7">
        <v>43563</v>
      </c>
      <c r="Q2" s="10">
        <v>43.4</v>
      </c>
      <c r="R2" s="10">
        <v>5.9527000000000001</v>
      </c>
      <c r="S2" s="10">
        <v>37.447299999999998</v>
      </c>
      <c r="T2" s="8">
        <v>12</v>
      </c>
      <c r="U2" s="7">
        <v>43566</v>
      </c>
      <c r="V2" s="8">
        <v>9916804340</v>
      </c>
      <c r="W2" s="9" t="s">
        <v>35</v>
      </c>
      <c r="X2" s="8" t="s">
        <v>46</v>
      </c>
      <c r="Y2" s="9" t="s">
        <v>47</v>
      </c>
      <c r="Z2" s="8" t="s">
        <v>48</v>
      </c>
      <c r="AA2" s="9" t="s">
        <v>49</v>
      </c>
      <c r="AB2" s="10">
        <f t="shared" ref="AB2:AB15" si="0">Q2/100</f>
        <v>0.434</v>
      </c>
    </row>
    <row r="3" spans="1:28" s="4" customFormat="1" ht="13" x14ac:dyDescent="0.3">
      <c r="A3" s="5">
        <v>1640</v>
      </c>
      <c r="B3" s="6" t="s">
        <v>28</v>
      </c>
      <c r="C3" s="7">
        <v>43566</v>
      </c>
      <c r="D3" s="8">
        <v>47</v>
      </c>
      <c r="E3" s="9" t="s">
        <v>43</v>
      </c>
      <c r="F3" s="8" t="s">
        <v>50</v>
      </c>
      <c r="G3" s="9" t="s">
        <v>51</v>
      </c>
      <c r="H3" s="8" t="str">
        <f>"000401"</f>
        <v>000401</v>
      </c>
      <c r="I3" s="7">
        <v>41702</v>
      </c>
      <c r="J3" s="8" t="str">
        <f>"000046"</f>
        <v>000046</v>
      </c>
      <c r="K3" s="7">
        <v>42916</v>
      </c>
      <c r="L3" s="8" t="str">
        <f>"000140"</f>
        <v>000140</v>
      </c>
      <c r="M3" s="7">
        <v>42916</v>
      </c>
      <c r="N3" s="8">
        <v>14</v>
      </c>
      <c r="O3" s="8" t="str">
        <f>"000101"</f>
        <v>000101</v>
      </c>
      <c r="P3" s="7">
        <v>43563</v>
      </c>
      <c r="Q3" s="10">
        <v>24.980139999999999</v>
      </c>
      <c r="R3" s="10">
        <v>3.3971100000000001</v>
      </c>
      <c r="S3" s="10">
        <v>21.583030000000001</v>
      </c>
      <c r="T3" s="8">
        <v>12</v>
      </c>
      <c r="U3" s="7">
        <v>43566</v>
      </c>
      <c r="V3" s="8">
        <v>9886795735</v>
      </c>
      <c r="W3" s="9" t="s">
        <v>35</v>
      </c>
      <c r="X3" s="8" t="s">
        <v>46</v>
      </c>
      <c r="Y3" s="9" t="s">
        <v>47</v>
      </c>
      <c r="Z3" s="8" t="s">
        <v>48</v>
      </c>
      <c r="AA3" s="9" t="s">
        <v>49</v>
      </c>
      <c r="AB3" s="10">
        <f t="shared" si="0"/>
        <v>0.24980139999999998</v>
      </c>
    </row>
    <row r="4" spans="1:28" s="4" customFormat="1" ht="13" x14ac:dyDescent="0.3">
      <c r="A4" s="5">
        <v>1641</v>
      </c>
      <c r="B4" s="6" t="s">
        <v>28</v>
      </c>
      <c r="C4" s="7">
        <v>43566</v>
      </c>
      <c r="D4" s="8">
        <v>47</v>
      </c>
      <c r="E4" s="9" t="s">
        <v>43</v>
      </c>
      <c r="F4" s="8" t="s">
        <v>52</v>
      </c>
      <c r="G4" s="9" t="s">
        <v>53</v>
      </c>
      <c r="H4" s="8" t="str">
        <f>"000217"</f>
        <v>000217</v>
      </c>
      <c r="I4" s="7">
        <v>43407</v>
      </c>
      <c r="J4" s="8" t="str">
        <f>"000080"</f>
        <v>000080</v>
      </c>
      <c r="K4" s="7">
        <v>43407</v>
      </c>
      <c r="L4" s="8" t="str">
        <f>"000201"</f>
        <v>000201</v>
      </c>
      <c r="M4" s="7">
        <v>43409</v>
      </c>
      <c r="N4" s="8">
        <v>18</v>
      </c>
      <c r="O4" s="8" t="str">
        <f>"000300"</f>
        <v>000300</v>
      </c>
      <c r="P4" s="7">
        <v>43565</v>
      </c>
      <c r="Q4" s="10">
        <v>48.397680000000001</v>
      </c>
      <c r="R4" s="10">
        <v>6.0461</v>
      </c>
      <c r="S4" s="10">
        <v>42.351579999999998</v>
      </c>
      <c r="T4" s="8">
        <v>15</v>
      </c>
      <c r="U4" s="7">
        <v>43566</v>
      </c>
      <c r="V4" s="8">
        <v>9916804340</v>
      </c>
      <c r="W4" s="9" t="s">
        <v>38</v>
      </c>
      <c r="X4" s="8" t="s">
        <v>33</v>
      </c>
      <c r="Y4" s="9" t="s">
        <v>34</v>
      </c>
      <c r="Z4" s="8" t="s">
        <v>48</v>
      </c>
      <c r="AA4" s="9" t="s">
        <v>49</v>
      </c>
      <c r="AB4" s="10">
        <f t="shared" si="0"/>
        <v>0.48397679999999998</v>
      </c>
    </row>
    <row r="5" spans="1:28" s="4" customFormat="1" ht="13" x14ac:dyDescent="0.3">
      <c r="A5" s="5">
        <v>1642</v>
      </c>
      <c r="B5" s="6" t="s">
        <v>28</v>
      </c>
      <c r="C5" s="7">
        <v>43566</v>
      </c>
      <c r="D5" s="8">
        <v>47</v>
      </c>
      <c r="E5" s="9" t="s">
        <v>43</v>
      </c>
      <c r="F5" s="8" t="s">
        <v>54</v>
      </c>
      <c r="G5" s="9" t="s">
        <v>55</v>
      </c>
      <c r="H5" s="8" t="str">
        <f>"000216"</f>
        <v>000216</v>
      </c>
      <c r="I5" s="7">
        <v>43407</v>
      </c>
      <c r="J5" s="8" t="str">
        <f>"000079"</f>
        <v>000079</v>
      </c>
      <c r="K5" s="7">
        <v>43407</v>
      </c>
      <c r="L5" s="8" t="str">
        <f>"000200"</f>
        <v>000200</v>
      </c>
      <c r="M5" s="7">
        <v>43409</v>
      </c>
      <c r="N5" s="8">
        <v>18</v>
      </c>
      <c r="O5" s="8" t="str">
        <f>"000301"</f>
        <v>000301</v>
      </c>
      <c r="P5" s="7">
        <v>43565</v>
      </c>
      <c r="Q5" s="10">
        <v>48.130499999999998</v>
      </c>
      <c r="R5" s="10">
        <v>6.4660500000000001</v>
      </c>
      <c r="S5" s="10">
        <v>41.664450000000002</v>
      </c>
      <c r="T5" s="8">
        <v>15</v>
      </c>
      <c r="U5" s="7">
        <v>43566</v>
      </c>
      <c r="V5" s="8">
        <v>9916804340</v>
      </c>
      <c r="W5" s="9" t="s">
        <v>38</v>
      </c>
      <c r="X5" s="8" t="s">
        <v>33</v>
      </c>
      <c r="Y5" s="9" t="s">
        <v>34</v>
      </c>
      <c r="Z5" s="8" t="s">
        <v>48</v>
      </c>
      <c r="AA5" s="9" t="s">
        <v>49</v>
      </c>
      <c r="AB5" s="10">
        <f t="shared" si="0"/>
        <v>0.48130499999999998</v>
      </c>
    </row>
    <row r="6" spans="1:28" s="4" customFormat="1" ht="13" x14ac:dyDescent="0.3">
      <c r="A6" s="5">
        <v>1643</v>
      </c>
      <c r="B6" s="6" t="s">
        <v>28</v>
      </c>
      <c r="C6" s="7">
        <v>43566</v>
      </c>
      <c r="D6" s="8">
        <v>47</v>
      </c>
      <c r="E6" s="9" t="s">
        <v>43</v>
      </c>
      <c r="F6" s="8" t="s">
        <v>56</v>
      </c>
      <c r="G6" s="9" t="s">
        <v>57</v>
      </c>
      <c r="H6" s="8" t="str">
        <f>"000219"</f>
        <v>000219</v>
      </c>
      <c r="I6" s="7">
        <v>43407</v>
      </c>
      <c r="J6" s="8" t="str">
        <f>"000078"</f>
        <v>000078</v>
      </c>
      <c r="K6" s="7">
        <v>43407</v>
      </c>
      <c r="L6" s="8" t="str">
        <f>"000199"</f>
        <v>000199</v>
      </c>
      <c r="M6" s="7">
        <v>43409</v>
      </c>
      <c r="N6" s="8">
        <v>18</v>
      </c>
      <c r="O6" s="8" t="str">
        <f>"000302"</f>
        <v>000302</v>
      </c>
      <c r="P6" s="7">
        <v>43565</v>
      </c>
      <c r="Q6" s="10">
        <v>49.032699999999998</v>
      </c>
      <c r="R6" s="10">
        <v>5.8324299999999996</v>
      </c>
      <c r="S6" s="10">
        <v>43.200270000000003</v>
      </c>
      <c r="T6" s="8">
        <v>15</v>
      </c>
      <c r="U6" s="7">
        <v>43566</v>
      </c>
      <c r="V6" s="8">
        <v>9916804340</v>
      </c>
      <c r="W6" s="9" t="s">
        <v>38</v>
      </c>
      <c r="X6" s="8" t="s">
        <v>33</v>
      </c>
      <c r="Y6" s="9" t="s">
        <v>34</v>
      </c>
      <c r="Z6" s="8" t="s">
        <v>48</v>
      </c>
      <c r="AA6" s="9" t="s">
        <v>49</v>
      </c>
      <c r="AB6" s="10">
        <f t="shared" si="0"/>
        <v>0.49032699999999996</v>
      </c>
    </row>
    <row r="7" spans="1:28" s="4" customFormat="1" ht="13" x14ac:dyDescent="0.3">
      <c r="A7" s="5">
        <v>1644</v>
      </c>
      <c r="B7" s="6" t="s">
        <v>28</v>
      </c>
      <c r="C7" s="7">
        <v>43566</v>
      </c>
      <c r="D7" s="8">
        <v>47</v>
      </c>
      <c r="E7" s="9" t="s">
        <v>43</v>
      </c>
      <c r="F7" s="8" t="s">
        <v>58</v>
      </c>
      <c r="G7" s="9" t="s">
        <v>59</v>
      </c>
      <c r="H7" s="8" t="str">
        <f>"000218"</f>
        <v>000218</v>
      </c>
      <c r="I7" s="7">
        <v>43407</v>
      </c>
      <c r="J7" s="8" t="str">
        <f>"000077"</f>
        <v>000077</v>
      </c>
      <c r="K7" s="7">
        <v>43407</v>
      </c>
      <c r="L7" s="8" t="str">
        <f>"000198"</f>
        <v>000198</v>
      </c>
      <c r="M7" s="7">
        <v>43409</v>
      </c>
      <c r="N7" s="8">
        <v>18</v>
      </c>
      <c r="O7" s="8" t="str">
        <f>"000303"</f>
        <v>000303</v>
      </c>
      <c r="P7" s="7">
        <v>43565</v>
      </c>
      <c r="Q7" s="10">
        <v>49.447600000000001</v>
      </c>
      <c r="R7" s="10">
        <v>5.8954599999999999</v>
      </c>
      <c r="S7" s="10">
        <v>43.552140000000001</v>
      </c>
      <c r="T7" s="8">
        <v>15</v>
      </c>
      <c r="U7" s="7">
        <v>43566</v>
      </c>
      <c r="V7" s="8">
        <v>9916804340</v>
      </c>
      <c r="W7" s="9" t="s">
        <v>38</v>
      </c>
      <c r="X7" s="8" t="s">
        <v>33</v>
      </c>
      <c r="Y7" s="9" t="s">
        <v>34</v>
      </c>
      <c r="Z7" s="8" t="s">
        <v>48</v>
      </c>
      <c r="AA7" s="9" t="s">
        <v>49</v>
      </c>
      <c r="AB7" s="10">
        <f t="shared" si="0"/>
        <v>0.49447600000000003</v>
      </c>
    </row>
    <row r="8" spans="1:28" s="4" customFormat="1" ht="13" x14ac:dyDescent="0.3">
      <c r="A8" s="5">
        <v>1645</v>
      </c>
      <c r="B8" s="6" t="s">
        <v>28</v>
      </c>
      <c r="C8" s="7">
        <v>43567</v>
      </c>
      <c r="D8" s="8">
        <v>47</v>
      </c>
      <c r="E8" s="9" t="s">
        <v>43</v>
      </c>
      <c r="F8" s="8" t="s">
        <v>60</v>
      </c>
      <c r="G8" s="9" t="s">
        <v>61</v>
      </c>
      <c r="H8" s="8" t="str">
        <f>"000106"</f>
        <v>000106</v>
      </c>
      <c r="I8" s="7">
        <v>43129</v>
      </c>
      <c r="J8" s="8" t="str">
        <f>"000185"</f>
        <v>000185</v>
      </c>
      <c r="K8" s="7">
        <v>43451</v>
      </c>
      <c r="L8" s="8" t="str">
        <f>"000183"</f>
        <v>000183</v>
      </c>
      <c r="M8" s="7">
        <v>43451</v>
      </c>
      <c r="N8" s="8">
        <v>16</v>
      </c>
      <c r="O8" s="8" t="str">
        <f>""</f>
        <v/>
      </c>
      <c r="P8" s="7"/>
      <c r="Q8" s="10">
        <v>7.0227599999999999</v>
      </c>
      <c r="R8" s="10">
        <v>0.59902</v>
      </c>
      <c r="S8" s="10">
        <v>6.4237399999999996</v>
      </c>
      <c r="T8" s="8">
        <v>17</v>
      </c>
      <c r="U8" s="7">
        <v>43567</v>
      </c>
      <c r="V8" s="8">
        <v>9880795895</v>
      </c>
      <c r="W8" s="9" t="s">
        <v>62</v>
      </c>
      <c r="X8" s="8" t="s">
        <v>29</v>
      </c>
      <c r="Y8" s="9" t="s">
        <v>30</v>
      </c>
      <c r="Z8" s="8" t="s">
        <v>41</v>
      </c>
      <c r="AA8" s="9" t="s">
        <v>42</v>
      </c>
      <c r="AB8" s="10">
        <f t="shared" si="0"/>
        <v>7.0227600000000001E-2</v>
      </c>
    </row>
    <row r="9" spans="1:28" s="4" customFormat="1" ht="13" x14ac:dyDescent="0.3">
      <c r="A9" s="5">
        <v>1646</v>
      </c>
      <c r="B9" s="6" t="s">
        <v>28</v>
      </c>
      <c r="C9" s="7">
        <v>43580</v>
      </c>
      <c r="D9" s="8">
        <v>47</v>
      </c>
      <c r="E9" s="9" t="s">
        <v>43</v>
      </c>
      <c r="F9" s="8" t="s">
        <v>60</v>
      </c>
      <c r="G9" s="9" t="s">
        <v>61</v>
      </c>
      <c r="H9" s="8" t="str">
        <f>"000106"</f>
        <v>000106</v>
      </c>
      <c r="I9" s="7">
        <v>43129</v>
      </c>
      <c r="J9" s="8" t="str">
        <f>"000185"</f>
        <v>000185</v>
      </c>
      <c r="K9" s="7">
        <v>43451</v>
      </c>
      <c r="L9" s="8" t="str">
        <f>"000183"</f>
        <v>000183</v>
      </c>
      <c r="M9" s="7">
        <v>43451</v>
      </c>
      <c r="N9" s="8">
        <v>16</v>
      </c>
      <c r="O9" s="8" t="str">
        <f>"001757"</f>
        <v>001757</v>
      </c>
      <c r="P9" s="7">
        <v>43603</v>
      </c>
      <c r="Q9" s="10">
        <v>2.2446700000000002</v>
      </c>
      <c r="R9" s="10">
        <v>0.32749</v>
      </c>
      <c r="S9" s="10">
        <v>1.9171800000000001</v>
      </c>
      <c r="T9" s="8">
        <v>29</v>
      </c>
      <c r="U9" s="7">
        <v>43580</v>
      </c>
      <c r="V9" s="8">
        <v>9880795895</v>
      </c>
      <c r="W9" s="9" t="s">
        <v>62</v>
      </c>
      <c r="X9" s="8" t="s">
        <v>29</v>
      </c>
      <c r="Y9" s="9" t="s">
        <v>30</v>
      </c>
      <c r="Z9" s="8" t="s">
        <v>41</v>
      </c>
      <c r="AA9" s="9" t="s">
        <v>42</v>
      </c>
      <c r="AB9" s="10">
        <f t="shared" si="0"/>
        <v>2.24467E-2</v>
      </c>
    </row>
    <row r="10" spans="1:28" s="4" customFormat="1" ht="13" x14ac:dyDescent="0.3">
      <c r="A10" s="5">
        <v>1647</v>
      </c>
      <c r="B10" s="6" t="s">
        <v>28</v>
      </c>
      <c r="C10" s="7">
        <v>43581</v>
      </c>
      <c r="D10" s="8">
        <v>47</v>
      </c>
      <c r="E10" s="9" t="s">
        <v>43</v>
      </c>
      <c r="F10" s="8" t="s">
        <v>63</v>
      </c>
      <c r="G10" s="9" t="s">
        <v>64</v>
      </c>
      <c r="H10" s="8" t="str">
        <f>"000200"</f>
        <v>000200</v>
      </c>
      <c r="I10" s="7">
        <v>43402</v>
      </c>
      <c r="J10" s="8" t="str">
        <f>"000072"</f>
        <v>000072</v>
      </c>
      <c r="K10" s="7">
        <v>43404</v>
      </c>
      <c r="L10" s="8" t="str">
        <f>"000189"</f>
        <v>000189</v>
      </c>
      <c r="M10" s="7">
        <v>43404</v>
      </c>
      <c r="N10" s="8">
        <v>18</v>
      </c>
      <c r="O10" s="8" t="str">
        <f>"000916"</f>
        <v>000916</v>
      </c>
      <c r="P10" s="7">
        <v>43579</v>
      </c>
      <c r="Q10" s="10">
        <v>49.646250000000002</v>
      </c>
      <c r="R10" s="10">
        <v>5.6022499999999997</v>
      </c>
      <c r="S10" s="10">
        <v>44.043999999999997</v>
      </c>
      <c r="T10" s="8">
        <v>30</v>
      </c>
      <c r="U10" s="7">
        <v>43581</v>
      </c>
      <c r="V10" s="8">
        <v>9972107343</v>
      </c>
      <c r="W10" s="9" t="s">
        <v>38</v>
      </c>
      <c r="X10" s="8" t="s">
        <v>33</v>
      </c>
      <c r="Y10" s="9" t="s">
        <v>34</v>
      </c>
      <c r="Z10" s="8" t="s">
        <v>48</v>
      </c>
      <c r="AA10" s="9" t="s">
        <v>49</v>
      </c>
      <c r="AB10" s="10">
        <f t="shared" si="0"/>
        <v>0.49646250000000003</v>
      </c>
    </row>
    <row r="11" spans="1:28" s="4" customFormat="1" ht="13" x14ac:dyDescent="0.3">
      <c r="A11" s="5">
        <v>1648</v>
      </c>
      <c r="B11" s="6" t="s">
        <v>28</v>
      </c>
      <c r="C11" s="7">
        <v>43581</v>
      </c>
      <c r="D11" s="8">
        <v>47</v>
      </c>
      <c r="E11" s="9" t="s">
        <v>43</v>
      </c>
      <c r="F11" s="8" t="s">
        <v>65</v>
      </c>
      <c r="G11" s="9" t="s">
        <v>66</v>
      </c>
      <c r="H11" s="8" t="str">
        <f>"000215"</f>
        <v>000215</v>
      </c>
      <c r="I11" s="7">
        <v>43407</v>
      </c>
      <c r="J11" s="8" t="str">
        <f>"000076"</f>
        <v>000076</v>
      </c>
      <c r="K11" s="7">
        <v>43407</v>
      </c>
      <c r="L11" s="8" t="str">
        <f>"000197"</f>
        <v>000197</v>
      </c>
      <c r="M11" s="7">
        <v>43409</v>
      </c>
      <c r="N11" s="8">
        <v>18</v>
      </c>
      <c r="O11" s="8" t="str">
        <f>"000925"</f>
        <v>000925</v>
      </c>
      <c r="P11" s="7">
        <v>43579</v>
      </c>
      <c r="Q11" s="10">
        <v>49.841639999999998</v>
      </c>
      <c r="R11" s="10">
        <v>5.7975399999999997</v>
      </c>
      <c r="S11" s="10">
        <v>44.0441</v>
      </c>
      <c r="T11" s="8">
        <v>30</v>
      </c>
      <c r="U11" s="7">
        <v>43581</v>
      </c>
      <c r="V11" s="8">
        <v>9916804340</v>
      </c>
      <c r="W11" s="9" t="s">
        <v>38</v>
      </c>
      <c r="X11" s="8" t="s">
        <v>33</v>
      </c>
      <c r="Y11" s="9" t="s">
        <v>34</v>
      </c>
      <c r="Z11" s="8" t="s">
        <v>48</v>
      </c>
      <c r="AA11" s="9" t="s">
        <v>49</v>
      </c>
      <c r="AB11" s="10">
        <f t="shared" si="0"/>
        <v>0.49841639999999998</v>
      </c>
    </row>
    <row r="12" spans="1:28" s="4" customFormat="1" ht="13" x14ac:dyDescent="0.3">
      <c r="A12" s="5">
        <v>1649</v>
      </c>
      <c r="B12" s="6" t="s">
        <v>32</v>
      </c>
      <c r="C12" s="7">
        <v>43591</v>
      </c>
      <c r="D12" s="8">
        <v>47</v>
      </c>
      <c r="E12" s="9" t="s">
        <v>43</v>
      </c>
      <c r="F12" s="8" t="s">
        <v>72</v>
      </c>
      <c r="G12" s="9" t="s">
        <v>73</v>
      </c>
      <c r="H12" s="8" t="str">
        <f>"000124"</f>
        <v>000124</v>
      </c>
      <c r="I12" s="7">
        <v>43374</v>
      </c>
      <c r="J12" s="8" t="str">
        <f>"000167"</f>
        <v>000167</v>
      </c>
      <c r="K12" s="7">
        <v>43540</v>
      </c>
      <c r="L12" s="8" t="str">
        <f>"000364"</f>
        <v>000364</v>
      </c>
      <c r="M12" s="7">
        <v>43542</v>
      </c>
      <c r="N12" s="8">
        <v>18</v>
      </c>
      <c r="O12" s="8" t="str">
        <f>"001233"</f>
        <v>001233</v>
      </c>
      <c r="P12" s="7">
        <v>43585</v>
      </c>
      <c r="Q12" s="10">
        <v>19.978950000000001</v>
      </c>
      <c r="R12" s="10">
        <v>2.4443299999999999</v>
      </c>
      <c r="S12" s="10">
        <v>17.53462</v>
      </c>
      <c r="T12" s="8">
        <v>35</v>
      </c>
      <c r="U12" s="7">
        <v>43591</v>
      </c>
      <c r="V12" s="8">
        <v>9686096929</v>
      </c>
      <c r="W12" s="9" t="s">
        <v>38</v>
      </c>
      <c r="X12" s="8" t="s">
        <v>74</v>
      </c>
      <c r="Y12" s="9" t="s">
        <v>75</v>
      </c>
      <c r="Z12" s="8" t="s">
        <v>48</v>
      </c>
      <c r="AA12" s="9" t="s">
        <v>49</v>
      </c>
      <c r="AB12" s="10">
        <f t="shared" si="0"/>
        <v>0.19978950000000001</v>
      </c>
    </row>
    <row r="13" spans="1:28" s="4" customFormat="1" ht="13" x14ac:dyDescent="0.3">
      <c r="A13" s="5">
        <v>1650</v>
      </c>
      <c r="B13" s="6" t="s">
        <v>32</v>
      </c>
      <c r="C13" s="7">
        <v>43591</v>
      </c>
      <c r="D13" s="8">
        <v>47</v>
      </c>
      <c r="E13" s="9" t="s">
        <v>43</v>
      </c>
      <c r="F13" s="8" t="s">
        <v>76</v>
      </c>
      <c r="G13" s="9" t="s">
        <v>77</v>
      </c>
      <c r="H13" s="8" t="str">
        <f>"000121"</f>
        <v>000121</v>
      </c>
      <c r="I13" s="7">
        <v>43374</v>
      </c>
      <c r="J13" s="8" t="str">
        <f>"000168"</f>
        <v>000168</v>
      </c>
      <c r="K13" s="7">
        <v>43540</v>
      </c>
      <c r="L13" s="8" t="str">
        <f>"000363"</f>
        <v>000363</v>
      </c>
      <c r="M13" s="7">
        <v>43542</v>
      </c>
      <c r="N13" s="8">
        <v>18</v>
      </c>
      <c r="O13" s="8" t="str">
        <f>"001234"</f>
        <v>001234</v>
      </c>
      <c r="P13" s="7">
        <v>43585</v>
      </c>
      <c r="Q13" s="10">
        <v>19.403739999999999</v>
      </c>
      <c r="R13" s="10">
        <v>2.1983000000000001</v>
      </c>
      <c r="S13" s="10">
        <v>17.205439999999999</v>
      </c>
      <c r="T13" s="8">
        <v>35</v>
      </c>
      <c r="U13" s="7">
        <v>43591</v>
      </c>
      <c r="V13" s="8">
        <v>9686096929</v>
      </c>
      <c r="W13" s="9" t="s">
        <v>38</v>
      </c>
      <c r="X13" s="8" t="s">
        <v>74</v>
      </c>
      <c r="Y13" s="9" t="s">
        <v>75</v>
      </c>
      <c r="Z13" s="8" t="s">
        <v>48</v>
      </c>
      <c r="AA13" s="9" t="s">
        <v>49</v>
      </c>
      <c r="AB13" s="10">
        <f t="shared" si="0"/>
        <v>0.1940374</v>
      </c>
    </row>
    <row r="14" spans="1:28" s="4" customFormat="1" ht="13" x14ac:dyDescent="0.3">
      <c r="A14" s="5">
        <v>1651</v>
      </c>
      <c r="B14" s="6" t="s">
        <v>32</v>
      </c>
      <c r="C14" s="7">
        <v>43606</v>
      </c>
      <c r="D14" s="8">
        <v>47</v>
      </c>
      <c r="E14" s="9" t="s">
        <v>43</v>
      </c>
      <c r="F14" s="8" t="s">
        <v>60</v>
      </c>
      <c r="G14" s="9" t="s">
        <v>61</v>
      </c>
      <c r="H14" s="8" t="str">
        <f>"000106"</f>
        <v>000106</v>
      </c>
      <c r="I14" s="7">
        <v>43129</v>
      </c>
      <c r="J14" s="8" t="str">
        <f>"000185"</f>
        <v>000185</v>
      </c>
      <c r="K14" s="7">
        <v>43451</v>
      </c>
      <c r="L14" s="8" t="str">
        <f>"000183"</f>
        <v>000183</v>
      </c>
      <c r="M14" s="7">
        <v>43451</v>
      </c>
      <c r="N14" s="8">
        <v>16</v>
      </c>
      <c r="O14" s="8" t="str">
        <f>"001757"</f>
        <v>001757</v>
      </c>
      <c r="P14" s="7">
        <v>43603</v>
      </c>
      <c r="Q14" s="10">
        <v>3.3670200000000001</v>
      </c>
      <c r="R14" s="10">
        <v>0.44078000000000001</v>
      </c>
      <c r="S14" s="10">
        <v>2.92624</v>
      </c>
      <c r="T14" s="8">
        <v>55</v>
      </c>
      <c r="U14" s="7">
        <v>43606</v>
      </c>
      <c r="V14" s="8">
        <v>9880795895</v>
      </c>
      <c r="W14" s="9" t="s">
        <v>62</v>
      </c>
      <c r="X14" s="8" t="s">
        <v>29</v>
      </c>
      <c r="Y14" s="9" t="s">
        <v>30</v>
      </c>
      <c r="Z14" s="8" t="s">
        <v>41</v>
      </c>
      <c r="AA14" s="9" t="s">
        <v>42</v>
      </c>
      <c r="AB14" s="10">
        <f t="shared" si="0"/>
        <v>3.3670200000000004E-2</v>
      </c>
    </row>
    <row r="15" spans="1:28" s="4" customFormat="1" ht="13" x14ac:dyDescent="0.3">
      <c r="A15" s="5">
        <v>1652</v>
      </c>
      <c r="B15" s="6" t="s">
        <v>32</v>
      </c>
      <c r="C15" s="7">
        <v>43610</v>
      </c>
      <c r="D15" s="8">
        <v>47</v>
      </c>
      <c r="E15" s="9" t="s">
        <v>43</v>
      </c>
      <c r="F15" s="8" t="s">
        <v>78</v>
      </c>
      <c r="G15" s="9" t="s">
        <v>79</v>
      </c>
      <c r="H15" s="8" t="str">
        <f>"000148"</f>
        <v>000148</v>
      </c>
      <c r="I15" s="7">
        <v>43067</v>
      </c>
      <c r="J15" s="8" t="str">
        <f>"000051"</f>
        <v>000051</v>
      </c>
      <c r="K15" s="7">
        <v>43109</v>
      </c>
      <c r="L15" s="8" t="str">
        <f>"000096"</f>
        <v>000096</v>
      </c>
      <c r="M15" s="7">
        <v>43110</v>
      </c>
      <c r="N15" s="8">
        <v>17</v>
      </c>
      <c r="O15" s="8" t="str">
        <f>"002053"</f>
        <v>002053</v>
      </c>
      <c r="P15" s="7">
        <v>43609</v>
      </c>
      <c r="Q15" s="10">
        <v>19.6221</v>
      </c>
      <c r="R15" s="10">
        <v>0.91683000000000003</v>
      </c>
      <c r="S15" s="10">
        <v>18.705269999999999</v>
      </c>
      <c r="T15" s="8">
        <v>59</v>
      </c>
      <c r="U15" s="7">
        <v>43610</v>
      </c>
      <c r="V15" s="8">
        <v>7760358779</v>
      </c>
      <c r="W15" s="9" t="s">
        <v>80</v>
      </c>
      <c r="X15" s="8" t="s">
        <v>39</v>
      </c>
      <c r="Y15" s="9" t="s">
        <v>40</v>
      </c>
      <c r="Z15" s="8" t="s">
        <v>48</v>
      </c>
      <c r="AA15" s="9" t="s">
        <v>49</v>
      </c>
      <c r="AB15" s="10">
        <f t="shared" si="0"/>
        <v>0.19622100000000001</v>
      </c>
    </row>
    <row r="16" spans="1:28" s="4" customFormat="1" ht="13" x14ac:dyDescent="0.3">
      <c r="A16" s="5">
        <v>1653</v>
      </c>
      <c r="B16" s="6" t="s">
        <v>31</v>
      </c>
      <c r="C16" s="7">
        <v>43622</v>
      </c>
      <c r="D16" s="8">
        <v>47</v>
      </c>
      <c r="E16" s="9" t="s">
        <v>43</v>
      </c>
      <c r="F16" s="8" t="s">
        <v>67</v>
      </c>
      <c r="G16" s="9" t="s">
        <v>68</v>
      </c>
      <c r="H16" s="8" t="str">
        <f>"000297"</f>
        <v>000297</v>
      </c>
      <c r="I16" s="7">
        <v>43507</v>
      </c>
      <c r="J16" s="8" t="str">
        <f>"000145"</f>
        <v>000145</v>
      </c>
      <c r="K16" s="7">
        <v>43507</v>
      </c>
      <c r="L16" s="8" t="str">
        <f>"000326"</f>
        <v>000326</v>
      </c>
      <c r="M16" s="7">
        <v>43507</v>
      </c>
      <c r="N16" s="8">
        <v>18</v>
      </c>
      <c r="O16" s="8" t="str">
        <f>"002293"</f>
        <v>002293</v>
      </c>
      <c r="P16" s="7">
        <v>43615</v>
      </c>
      <c r="Q16" s="10">
        <v>48.847560000000001</v>
      </c>
      <c r="R16" s="10">
        <v>5.37683</v>
      </c>
      <c r="S16" s="10">
        <v>43.470730000000003</v>
      </c>
      <c r="T16" s="8">
        <v>70</v>
      </c>
      <c r="U16" s="7">
        <v>43622</v>
      </c>
      <c r="V16" s="8">
        <v>9845020786</v>
      </c>
      <c r="W16" s="9" t="s">
        <v>38</v>
      </c>
      <c r="X16" s="8" t="s">
        <v>33</v>
      </c>
      <c r="Y16" s="9" t="s">
        <v>34</v>
      </c>
      <c r="Z16" s="8" t="s">
        <v>48</v>
      </c>
      <c r="AA16" s="9" t="s">
        <v>49</v>
      </c>
      <c r="AB16" s="10">
        <v>0.48847560000000001</v>
      </c>
    </row>
    <row r="17" spans="1:28" s="4" customFormat="1" ht="13" x14ac:dyDescent="0.3">
      <c r="A17" s="5">
        <v>1654</v>
      </c>
      <c r="B17" s="6" t="s">
        <v>31</v>
      </c>
      <c r="C17" s="7">
        <v>43641</v>
      </c>
      <c r="D17" s="8">
        <v>47</v>
      </c>
      <c r="E17" s="9" t="s">
        <v>43</v>
      </c>
      <c r="F17" s="8" t="s">
        <v>69</v>
      </c>
      <c r="G17" s="9" t="s">
        <v>70</v>
      </c>
      <c r="H17" s="8" t="str">
        <f>"000279"</f>
        <v>000279</v>
      </c>
      <c r="I17" s="7">
        <v>43483</v>
      </c>
      <c r="J17" s="8" t="str">
        <f>"000010"</f>
        <v>000010</v>
      </c>
      <c r="K17" s="7">
        <v>43606</v>
      </c>
      <c r="L17" s="8" t="str">
        <f>"000072"</f>
        <v>000072</v>
      </c>
      <c r="M17" s="7">
        <v>43607</v>
      </c>
      <c r="N17" s="8">
        <v>17</v>
      </c>
      <c r="O17" s="8" t="str">
        <f>"002849"</f>
        <v>002849</v>
      </c>
      <c r="P17" s="7">
        <v>43635</v>
      </c>
      <c r="Q17" s="10">
        <v>8.4818899999999999</v>
      </c>
      <c r="R17" s="10">
        <v>0.34627999999999998</v>
      </c>
      <c r="S17" s="10">
        <v>8.1356099999999998</v>
      </c>
      <c r="T17" s="8">
        <v>93</v>
      </c>
      <c r="U17" s="7">
        <v>43641</v>
      </c>
      <c r="V17" s="8">
        <v>9886660709</v>
      </c>
      <c r="W17" s="9" t="s">
        <v>71</v>
      </c>
      <c r="X17" s="8" t="s">
        <v>36</v>
      </c>
      <c r="Y17" s="9" t="s">
        <v>37</v>
      </c>
      <c r="Z17" s="8" t="s">
        <v>48</v>
      </c>
      <c r="AA17" s="9" t="s">
        <v>49</v>
      </c>
      <c r="AB17" s="10">
        <v>8.4818900000000003E-2</v>
      </c>
    </row>
    <row r="18" spans="1:28" s="4" customFormat="1" ht="13" x14ac:dyDescent="0.3">
      <c r="A18" s="5">
        <v>1655</v>
      </c>
      <c r="B18" s="6" t="s">
        <v>81</v>
      </c>
      <c r="C18" s="7">
        <v>43647</v>
      </c>
      <c r="D18" s="8">
        <v>47</v>
      </c>
      <c r="E18" s="9" t="s">
        <v>43</v>
      </c>
      <c r="F18" s="8" t="s">
        <v>82</v>
      </c>
      <c r="G18" s="11" t="s">
        <v>83</v>
      </c>
      <c r="H18" s="8" t="str">
        <f>"000061"</f>
        <v>000061</v>
      </c>
      <c r="I18" s="7">
        <v>43003</v>
      </c>
      <c r="J18" s="8" t="str">
        <f>"000043"</f>
        <v>000043</v>
      </c>
      <c r="K18" s="7">
        <v>43098</v>
      </c>
      <c r="L18" s="8" t="str">
        <f>"000088"</f>
        <v>000088</v>
      </c>
      <c r="M18" s="7">
        <v>43102</v>
      </c>
      <c r="N18" s="8">
        <v>17</v>
      </c>
      <c r="O18" s="8" t="str">
        <f>"003018"</f>
        <v>003018</v>
      </c>
      <c r="P18" s="7">
        <v>43640</v>
      </c>
      <c r="Q18" s="12">
        <v>13.601319999999999</v>
      </c>
      <c r="R18" s="12">
        <v>0.79842000000000002</v>
      </c>
      <c r="S18" s="12">
        <v>12.802899999999999</v>
      </c>
      <c r="T18" s="8">
        <v>96</v>
      </c>
      <c r="U18" s="7">
        <v>43647</v>
      </c>
      <c r="V18" s="8">
        <v>9620089500</v>
      </c>
      <c r="W18" s="11" t="s">
        <v>84</v>
      </c>
      <c r="X18" s="8" t="s">
        <v>39</v>
      </c>
      <c r="Y18" s="11" t="s">
        <v>40</v>
      </c>
      <c r="Z18" s="8" t="s">
        <v>48</v>
      </c>
      <c r="AA18" s="11" t="s">
        <v>49</v>
      </c>
      <c r="AB18" s="12">
        <f t="shared" ref="AB18:AB40" si="1">Q18/100</f>
        <v>0.1360132</v>
      </c>
    </row>
    <row r="19" spans="1:28" s="4" customFormat="1" ht="13" x14ac:dyDescent="0.3">
      <c r="A19" s="5">
        <v>1656</v>
      </c>
      <c r="B19" s="6" t="s">
        <v>81</v>
      </c>
      <c r="C19" s="7">
        <v>43647</v>
      </c>
      <c r="D19" s="8">
        <v>47</v>
      </c>
      <c r="E19" s="9" t="s">
        <v>43</v>
      </c>
      <c r="F19" s="8" t="s">
        <v>85</v>
      </c>
      <c r="G19" s="11" t="s">
        <v>86</v>
      </c>
      <c r="H19" s="8" t="str">
        <f>"000013"</f>
        <v>000013</v>
      </c>
      <c r="I19" s="7">
        <v>42979</v>
      </c>
      <c r="J19" s="8" t="str">
        <f>"000050"</f>
        <v>000050</v>
      </c>
      <c r="K19" s="7">
        <v>43105</v>
      </c>
      <c r="L19" s="8" t="str">
        <f>"000092"</f>
        <v>000092</v>
      </c>
      <c r="M19" s="7">
        <v>43105</v>
      </c>
      <c r="N19" s="8">
        <v>17</v>
      </c>
      <c r="O19" s="8" t="str">
        <f>"003020"</f>
        <v>003020</v>
      </c>
      <c r="P19" s="7">
        <v>43640</v>
      </c>
      <c r="Q19" s="12">
        <v>9.7944399999999998</v>
      </c>
      <c r="R19" s="12">
        <v>0.58755000000000002</v>
      </c>
      <c r="S19" s="12">
        <v>9.2068899999999996</v>
      </c>
      <c r="T19" s="8">
        <v>96</v>
      </c>
      <c r="U19" s="7">
        <v>43647</v>
      </c>
      <c r="V19" s="8">
        <v>9916804340</v>
      </c>
      <c r="W19" s="11" t="s">
        <v>87</v>
      </c>
      <c r="X19" s="8" t="s">
        <v>88</v>
      </c>
      <c r="Y19" s="11" t="s">
        <v>89</v>
      </c>
      <c r="Z19" s="8" t="s">
        <v>48</v>
      </c>
      <c r="AA19" s="11" t="s">
        <v>49</v>
      </c>
      <c r="AB19" s="12">
        <f t="shared" si="1"/>
        <v>9.7944400000000001E-2</v>
      </c>
    </row>
    <row r="20" spans="1:28" s="4" customFormat="1" ht="13" x14ac:dyDescent="0.3">
      <c r="A20" s="5">
        <v>1657</v>
      </c>
      <c r="B20" s="6" t="s">
        <v>81</v>
      </c>
      <c r="C20" s="7">
        <v>43647</v>
      </c>
      <c r="D20" s="8">
        <v>47</v>
      </c>
      <c r="E20" s="9" t="s">
        <v>43</v>
      </c>
      <c r="F20" s="8" t="s">
        <v>90</v>
      </c>
      <c r="G20" s="11" t="s">
        <v>91</v>
      </c>
      <c r="H20" s="8" t="str">
        <f>"000092"</f>
        <v>000092</v>
      </c>
      <c r="I20" s="7">
        <v>43021</v>
      </c>
      <c r="J20" s="8" t="str">
        <f>"000065"</f>
        <v>000065</v>
      </c>
      <c r="K20" s="7">
        <v>43123</v>
      </c>
      <c r="L20" s="8" t="str">
        <f>"000117"</f>
        <v>000117</v>
      </c>
      <c r="M20" s="7">
        <v>43127</v>
      </c>
      <c r="N20" s="8">
        <v>15</v>
      </c>
      <c r="O20" s="8" t="str">
        <f>"003154"</f>
        <v>003154</v>
      </c>
      <c r="P20" s="7">
        <v>43643</v>
      </c>
      <c r="Q20" s="12">
        <v>13.19605</v>
      </c>
      <c r="R20" s="12">
        <v>0.63880000000000003</v>
      </c>
      <c r="S20" s="12">
        <v>12.55725</v>
      </c>
      <c r="T20" s="8">
        <v>96</v>
      </c>
      <c r="U20" s="7">
        <v>43647</v>
      </c>
      <c r="V20" s="8">
        <v>9845489450</v>
      </c>
      <c r="W20" s="11" t="s">
        <v>92</v>
      </c>
      <c r="X20" s="8" t="s">
        <v>88</v>
      </c>
      <c r="Y20" s="11" t="s">
        <v>89</v>
      </c>
      <c r="Z20" s="8" t="s">
        <v>48</v>
      </c>
      <c r="AA20" s="11" t="s">
        <v>49</v>
      </c>
      <c r="AB20" s="12">
        <f t="shared" si="1"/>
        <v>0.13196050000000001</v>
      </c>
    </row>
    <row r="21" spans="1:28" s="4" customFormat="1" ht="13" x14ac:dyDescent="0.3">
      <c r="A21" s="5">
        <v>1658</v>
      </c>
      <c r="B21" s="6" t="s">
        <v>81</v>
      </c>
      <c r="C21" s="7">
        <v>43647</v>
      </c>
      <c r="D21" s="8">
        <v>47</v>
      </c>
      <c r="E21" s="9" t="s">
        <v>43</v>
      </c>
      <c r="F21" s="8" t="s">
        <v>93</v>
      </c>
      <c r="G21" s="11" t="s">
        <v>94</v>
      </c>
      <c r="H21" s="8" t="str">
        <f>"000093"</f>
        <v>000093</v>
      </c>
      <c r="I21" s="7">
        <v>43021</v>
      </c>
      <c r="J21" s="8" t="str">
        <f>"000066"</f>
        <v>000066</v>
      </c>
      <c r="K21" s="7">
        <v>43123</v>
      </c>
      <c r="L21" s="8" t="str">
        <f>"000118"</f>
        <v>000118</v>
      </c>
      <c r="M21" s="7">
        <v>43127</v>
      </c>
      <c r="N21" s="8">
        <v>15</v>
      </c>
      <c r="O21" s="8" t="str">
        <f>"003155"</f>
        <v>003155</v>
      </c>
      <c r="P21" s="7">
        <v>43643</v>
      </c>
      <c r="Q21" s="12">
        <v>13.22617</v>
      </c>
      <c r="R21" s="12">
        <v>0.73741999999999996</v>
      </c>
      <c r="S21" s="12">
        <v>12.48875</v>
      </c>
      <c r="T21" s="8">
        <v>96</v>
      </c>
      <c r="U21" s="7">
        <v>43647</v>
      </c>
      <c r="V21" s="8">
        <v>9845489450</v>
      </c>
      <c r="W21" s="11" t="s">
        <v>92</v>
      </c>
      <c r="X21" s="8" t="s">
        <v>88</v>
      </c>
      <c r="Y21" s="11" t="s">
        <v>89</v>
      </c>
      <c r="Z21" s="8" t="s">
        <v>48</v>
      </c>
      <c r="AA21" s="11" t="s">
        <v>49</v>
      </c>
      <c r="AB21" s="12">
        <f t="shared" si="1"/>
        <v>0.13226170000000001</v>
      </c>
    </row>
    <row r="22" spans="1:28" s="4" customFormat="1" ht="13" x14ac:dyDescent="0.3">
      <c r="A22" s="5">
        <v>1659</v>
      </c>
      <c r="B22" s="6" t="s">
        <v>81</v>
      </c>
      <c r="C22" s="7">
        <v>43647</v>
      </c>
      <c r="D22" s="8">
        <v>47</v>
      </c>
      <c r="E22" s="9" t="s">
        <v>43</v>
      </c>
      <c r="F22" s="8" t="s">
        <v>95</v>
      </c>
      <c r="G22" s="11" t="s">
        <v>96</v>
      </c>
      <c r="H22" s="8" t="str">
        <f>"000120"</f>
        <v>000120</v>
      </c>
      <c r="I22" s="7">
        <v>43049</v>
      </c>
      <c r="J22" s="8" t="str">
        <f>"000069"</f>
        <v>000069</v>
      </c>
      <c r="K22" s="7">
        <v>43130</v>
      </c>
      <c r="L22" s="8" t="str">
        <f>"000130"</f>
        <v>000130</v>
      </c>
      <c r="M22" s="7">
        <v>43131</v>
      </c>
      <c r="N22" s="8">
        <v>17</v>
      </c>
      <c r="O22" s="8" t="str">
        <f>"003166"</f>
        <v>003166</v>
      </c>
      <c r="P22" s="7">
        <v>43643</v>
      </c>
      <c r="Q22" s="12">
        <v>9.8638100000000009</v>
      </c>
      <c r="R22" s="12">
        <v>0.59475</v>
      </c>
      <c r="S22" s="12">
        <v>9.2690599999999996</v>
      </c>
      <c r="T22" s="8">
        <v>96</v>
      </c>
      <c r="U22" s="7">
        <v>43647</v>
      </c>
      <c r="V22" s="8">
        <v>9620306428</v>
      </c>
      <c r="W22" s="11" t="s">
        <v>97</v>
      </c>
      <c r="X22" s="8" t="s">
        <v>39</v>
      </c>
      <c r="Y22" s="11" t="s">
        <v>40</v>
      </c>
      <c r="Z22" s="8" t="s">
        <v>48</v>
      </c>
      <c r="AA22" s="11" t="s">
        <v>49</v>
      </c>
      <c r="AB22" s="12">
        <f t="shared" si="1"/>
        <v>9.8638100000000006E-2</v>
      </c>
    </row>
    <row r="23" spans="1:28" s="4" customFormat="1" ht="13" x14ac:dyDescent="0.3">
      <c r="A23" s="5">
        <v>1660</v>
      </c>
      <c r="B23" s="6" t="s">
        <v>81</v>
      </c>
      <c r="C23" s="7">
        <v>43650</v>
      </c>
      <c r="D23" s="8">
        <v>47</v>
      </c>
      <c r="E23" s="9" t="s">
        <v>43</v>
      </c>
      <c r="F23" s="8" t="s">
        <v>98</v>
      </c>
      <c r="G23" s="11" t="s">
        <v>99</v>
      </c>
      <c r="H23" s="8" t="str">
        <f>"000180"</f>
        <v>000180</v>
      </c>
      <c r="I23" s="7">
        <v>43388</v>
      </c>
      <c r="J23" s="8" t="str">
        <f>"000157"</f>
        <v>000157</v>
      </c>
      <c r="K23" s="7">
        <v>43516</v>
      </c>
      <c r="L23" s="8" t="str">
        <f>"000349"</f>
        <v>000349</v>
      </c>
      <c r="M23" s="7">
        <v>43525</v>
      </c>
      <c r="N23" s="8">
        <v>18</v>
      </c>
      <c r="O23" s="8" t="str">
        <f>"003255"</f>
        <v>003255</v>
      </c>
      <c r="P23" s="7">
        <v>43645</v>
      </c>
      <c r="Q23" s="12">
        <v>19.977989999999998</v>
      </c>
      <c r="R23" s="12">
        <v>2.20749</v>
      </c>
      <c r="S23" s="12">
        <v>17.770499999999998</v>
      </c>
      <c r="T23" s="8">
        <v>106</v>
      </c>
      <c r="U23" s="7">
        <v>43650</v>
      </c>
      <c r="V23" s="8">
        <v>9916804340</v>
      </c>
      <c r="W23" s="11" t="s">
        <v>38</v>
      </c>
      <c r="X23" s="8" t="s">
        <v>100</v>
      </c>
      <c r="Y23" s="11" t="s">
        <v>101</v>
      </c>
      <c r="Z23" s="8" t="s">
        <v>48</v>
      </c>
      <c r="AA23" s="11" t="s">
        <v>49</v>
      </c>
      <c r="AB23" s="12">
        <f t="shared" si="1"/>
        <v>0.19977989999999998</v>
      </c>
    </row>
    <row r="24" spans="1:28" s="4" customFormat="1" ht="13" x14ac:dyDescent="0.3">
      <c r="A24" s="5">
        <v>1661</v>
      </c>
      <c r="B24" s="6" t="s">
        <v>81</v>
      </c>
      <c r="C24" s="7">
        <v>43650</v>
      </c>
      <c r="D24" s="8">
        <v>47</v>
      </c>
      <c r="E24" s="9" t="s">
        <v>43</v>
      </c>
      <c r="F24" s="8" t="s">
        <v>102</v>
      </c>
      <c r="G24" s="11" t="s">
        <v>103</v>
      </c>
      <c r="H24" s="8" t="str">
        <f>"000178"</f>
        <v>000178</v>
      </c>
      <c r="I24" s="7">
        <v>43388</v>
      </c>
      <c r="J24" s="8" t="str">
        <f>"000152"</f>
        <v>000152</v>
      </c>
      <c r="K24" s="7">
        <v>43516</v>
      </c>
      <c r="L24" s="8" t="str">
        <f>"000354"</f>
        <v>000354</v>
      </c>
      <c r="M24" s="7">
        <v>43525</v>
      </c>
      <c r="N24" s="8">
        <v>18</v>
      </c>
      <c r="O24" s="8" t="str">
        <f>"003256"</f>
        <v>003256</v>
      </c>
      <c r="P24" s="7">
        <v>43645</v>
      </c>
      <c r="Q24" s="12">
        <v>19.97448</v>
      </c>
      <c r="R24" s="12">
        <v>2.2059799999999998</v>
      </c>
      <c r="S24" s="12">
        <v>17.7685</v>
      </c>
      <c r="T24" s="8">
        <v>106</v>
      </c>
      <c r="U24" s="7">
        <v>43650</v>
      </c>
      <c r="V24" s="8">
        <v>9916804340</v>
      </c>
      <c r="W24" s="11" t="s">
        <v>38</v>
      </c>
      <c r="X24" s="8" t="s">
        <v>100</v>
      </c>
      <c r="Y24" s="11" t="s">
        <v>101</v>
      </c>
      <c r="Z24" s="8" t="s">
        <v>48</v>
      </c>
      <c r="AA24" s="11" t="s">
        <v>49</v>
      </c>
      <c r="AB24" s="12">
        <f t="shared" si="1"/>
        <v>0.1997448</v>
      </c>
    </row>
    <row r="25" spans="1:28" s="4" customFormat="1" ht="13" x14ac:dyDescent="0.3">
      <c r="A25" s="5">
        <v>1662</v>
      </c>
      <c r="B25" s="6" t="s">
        <v>81</v>
      </c>
      <c r="C25" s="7">
        <v>43650</v>
      </c>
      <c r="D25" s="8">
        <v>47</v>
      </c>
      <c r="E25" s="9" t="s">
        <v>43</v>
      </c>
      <c r="F25" s="8" t="s">
        <v>104</v>
      </c>
      <c r="G25" s="11" t="s">
        <v>105</v>
      </c>
      <c r="H25" s="8" t="str">
        <f>"000179"</f>
        <v>000179</v>
      </c>
      <c r="I25" s="7">
        <v>43388</v>
      </c>
      <c r="J25" s="8" t="str">
        <f>"000154"</f>
        <v>000154</v>
      </c>
      <c r="K25" s="7">
        <v>43516</v>
      </c>
      <c r="L25" s="8" t="str">
        <f>"000356"</f>
        <v>000356</v>
      </c>
      <c r="M25" s="7">
        <v>43525</v>
      </c>
      <c r="N25" s="8">
        <v>18</v>
      </c>
      <c r="O25" s="8" t="str">
        <f>"003257"</f>
        <v>003257</v>
      </c>
      <c r="P25" s="7">
        <v>43645</v>
      </c>
      <c r="Q25" s="12">
        <v>19.9833</v>
      </c>
      <c r="R25" s="12">
        <v>2.2113399999999999</v>
      </c>
      <c r="S25" s="12">
        <v>17.77196</v>
      </c>
      <c r="T25" s="8">
        <v>106</v>
      </c>
      <c r="U25" s="7">
        <v>43650</v>
      </c>
      <c r="V25" s="8">
        <v>9916804340</v>
      </c>
      <c r="W25" s="11" t="s">
        <v>38</v>
      </c>
      <c r="X25" s="8" t="s">
        <v>100</v>
      </c>
      <c r="Y25" s="11" t="s">
        <v>101</v>
      </c>
      <c r="Z25" s="8" t="s">
        <v>48</v>
      </c>
      <c r="AA25" s="11" t="s">
        <v>49</v>
      </c>
      <c r="AB25" s="12">
        <f t="shared" si="1"/>
        <v>0.19983300000000001</v>
      </c>
    </row>
    <row r="26" spans="1:28" s="4" customFormat="1" ht="13" x14ac:dyDescent="0.3">
      <c r="A26" s="5">
        <v>1663</v>
      </c>
      <c r="B26" s="6" t="s">
        <v>81</v>
      </c>
      <c r="C26" s="7">
        <v>43650</v>
      </c>
      <c r="D26" s="8">
        <v>47</v>
      </c>
      <c r="E26" s="9" t="s">
        <v>43</v>
      </c>
      <c r="F26" s="8" t="s">
        <v>106</v>
      </c>
      <c r="G26" s="11" t="s">
        <v>107</v>
      </c>
      <c r="H26" s="8" t="str">
        <f>"000174"</f>
        <v>000174</v>
      </c>
      <c r="I26" s="7">
        <v>43388</v>
      </c>
      <c r="J26" s="8" t="str">
        <f>"000159"</f>
        <v>000159</v>
      </c>
      <c r="K26" s="7">
        <v>43516</v>
      </c>
      <c r="L26" s="8" t="str">
        <f>"000351"</f>
        <v>000351</v>
      </c>
      <c r="M26" s="7">
        <v>43525</v>
      </c>
      <c r="N26" s="8">
        <v>18</v>
      </c>
      <c r="O26" s="8" t="str">
        <f>"003258"</f>
        <v>003258</v>
      </c>
      <c r="P26" s="7">
        <v>43645</v>
      </c>
      <c r="Q26" s="12">
        <v>19.984999999999999</v>
      </c>
      <c r="R26" s="12">
        <v>2.2069899999999998</v>
      </c>
      <c r="S26" s="12">
        <v>17.778009999999998</v>
      </c>
      <c r="T26" s="8">
        <v>106</v>
      </c>
      <c r="U26" s="7">
        <v>43650</v>
      </c>
      <c r="V26" s="8">
        <v>9916804340</v>
      </c>
      <c r="W26" s="11" t="s">
        <v>38</v>
      </c>
      <c r="X26" s="8" t="s">
        <v>100</v>
      </c>
      <c r="Y26" s="11" t="s">
        <v>101</v>
      </c>
      <c r="Z26" s="8" t="s">
        <v>48</v>
      </c>
      <c r="AA26" s="11" t="s">
        <v>49</v>
      </c>
      <c r="AB26" s="12">
        <f t="shared" si="1"/>
        <v>0.19985</v>
      </c>
    </row>
    <row r="27" spans="1:28" s="4" customFormat="1" ht="13" x14ac:dyDescent="0.3">
      <c r="A27" s="5">
        <v>1664</v>
      </c>
      <c r="B27" s="6" t="s">
        <v>81</v>
      </c>
      <c r="C27" s="7">
        <v>43650</v>
      </c>
      <c r="D27" s="8">
        <v>47</v>
      </c>
      <c r="E27" s="9" t="s">
        <v>43</v>
      </c>
      <c r="F27" s="8" t="s">
        <v>108</v>
      </c>
      <c r="G27" s="11" t="s">
        <v>109</v>
      </c>
      <c r="H27" s="8" t="str">
        <f>"000176"</f>
        <v>000176</v>
      </c>
      <c r="I27" s="7">
        <v>43388</v>
      </c>
      <c r="J27" s="8" t="str">
        <f>"000156"</f>
        <v>000156</v>
      </c>
      <c r="K27" s="7">
        <v>43516</v>
      </c>
      <c r="L27" s="8" t="str">
        <f>"000348"</f>
        <v>000348</v>
      </c>
      <c r="M27" s="7">
        <v>43525</v>
      </c>
      <c r="N27" s="8">
        <v>18</v>
      </c>
      <c r="O27" s="8" t="str">
        <f>"003259"</f>
        <v>003259</v>
      </c>
      <c r="P27" s="7">
        <v>43645</v>
      </c>
      <c r="Q27" s="12">
        <v>19.9727</v>
      </c>
      <c r="R27" s="12">
        <v>2.2069999999999999</v>
      </c>
      <c r="S27" s="12">
        <v>17.765699999999999</v>
      </c>
      <c r="T27" s="8">
        <v>106</v>
      </c>
      <c r="U27" s="7">
        <v>43650</v>
      </c>
      <c r="V27" s="8">
        <v>9916804340</v>
      </c>
      <c r="W27" s="11" t="s">
        <v>38</v>
      </c>
      <c r="X27" s="8" t="s">
        <v>100</v>
      </c>
      <c r="Y27" s="11" t="s">
        <v>101</v>
      </c>
      <c r="Z27" s="8" t="s">
        <v>48</v>
      </c>
      <c r="AA27" s="11" t="s">
        <v>49</v>
      </c>
      <c r="AB27" s="12">
        <f t="shared" si="1"/>
        <v>0.19972699999999999</v>
      </c>
    </row>
    <row r="28" spans="1:28" s="4" customFormat="1" ht="13" x14ac:dyDescent="0.3">
      <c r="A28" s="5">
        <v>1665</v>
      </c>
      <c r="B28" s="6" t="s">
        <v>81</v>
      </c>
      <c r="C28" s="7">
        <v>43650</v>
      </c>
      <c r="D28" s="8">
        <v>47</v>
      </c>
      <c r="E28" s="9" t="s">
        <v>43</v>
      </c>
      <c r="F28" s="8" t="s">
        <v>110</v>
      </c>
      <c r="G28" s="11" t="s">
        <v>111</v>
      </c>
      <c r="H28" s="8" t="str">
        <f>"000177"</f>
        <v>000177</v>
      </c>
      <c r="I28" s="7">
        <v>43388</v>
      </c>
      <c r="J28" s="8" t="str">
        <f>"000155"</f>
        <v>000155</v>
      </c>
      <c r="K28" s="7">
        <v>43516</v>
      </c>
      <c r="L28" s="8" t="str">
        <f>"000357"</f>
        <v>000357</v>
      </c>
      <c r="M28" s="7">
        <v>43525</v>
      </c>
      <c r="N28" s="8">
        <v>18</v>
      </c>
      <c r="O28" s="8" t="str">
        <f>"003260"</f>
        <v>003260</v>
      </c>
      <c r="P28" s="7">
        <v>43645</v>
      </c>
      <c r="Q28" s="12">
        <v>19.986799999999999</v>
      </c>
      <c r="R28" s="12">
        <v>2.2059700000000002</v>
      </c>
      <c r="S28" s="12">
        <v>17.780830000000002</v>
      </c>
      <c r="T28" s="8">
        <v>106</v>
      </c>
      <c r="U28" s="7">
        <v>43650</v>
      </c>
      <c r="V28" s="8">
        <v>9916804340</v>
      </c>
      <c r="W28" s="11" t="s">
        <v>38</v>
      </c>
      <c r="X28" s="8" t="s">
        <v>100</v>
      </c>
      <c r="Y28" s="11" t="s">
        <v>101</v>
      </c>
      <c r="Z28" s="8" t="s">
        <v>48</v>
      </c>
      <c r="AA28" s="11" t="s">
        <v>49</v>
      </c>
      <c r="AB28" s="12">
        <f t="shared" si="1"/>
        <v>0.19986799999999999</v>
      </c>
    </row>
    <row r="29" spans="1:28" s="4" customFormat="1" ht="13" x14ac:dyDescent="0.3">
      <c r="A29" s="5">
        <v>1666</v>
      </c>
      <c r="B29" s="6" t="s">
        <v>81</v>
      </c>
      <c r="C29" s="7">
        <v>43650</v>
      </c>
      <c r="D29" s="8">
        <v>47</v>
      </c>
      <c r="E29" s="9" t="s">
        <v>43</v>
      </c>
      <c r="F29" s="8" t="s">
        <v>112</v>
      </c>
      <c r="G29" s="11" t="s">
        <v>113</v>
      </c>
      <c r="H29" s="8" t="str">
        <f>"000182"</f>
        <v>000182</v>
      </c>
      <c r="I29" s="7">
        <v>43388</v>
      </c>
      <c r="J29" s="8" t="str">
        <f>"000151"</f>
        <v>000151</v>
      </c>
      <c r="K29" s="7">
        <v>43516</v>
      </c>
      <c r="L29" s="8" t="str">
        <f>"000353"</f>
        <v>000353</v>
      </c>
      <c r="M29" s="7">
        <v>43525</v>
      </c>
      <c r="N29" s="8">
        <v>18</v>
      </c>
      <c r="O29" s="8" t="str">
        <f>"003261"</f>
        <v>003261</v>
      </c>
      <c r="P29" s="7">
        <v>43645</v>
      </c>
      <c r="Q29" s="12">
        <v>19.816669999999998</v>
      </c>
      <c r="R29" s="12">
        <v>2.2138599999999999</v>
      </c>
      <c r="S29" s="12">
        <v>17.602810000000002</v>
      </c>
      <c r="T29" s="8">
        <v>106</v>
      </c>
      <c r="U29" s="7">
        <v>43650</v>
      </c>
      <c r="V29" s="8">
        <v>9916804340</v>
      </c>
      <c r="W29" s="11" t="s">
        <v>38</v>
      </c>
      <c r="X29" s="8" t="s">
        <v>100</v>
      </c>
      <c r="Y29" s="11" t="s">
        <v>101</v>
      </c>
      <c r="Z29" s="8" t="s">
        <v>48</v>
      </c>
      <c r="AA29" s="11" t="s">
        <v>49</v>
      </c>
      <c r="AB29" s="12">
        <f t="shared" si="1"/>
        <v>0.19816669999999997</v>
      </c>
    </row>
    <row r="30" spans="1:28" s="4" customFormat="1" ht="13" x14ac:dyDescent="0.3">
      <c r="A30" s="5">
        <v>1667</v>
      </c>
      <c r="B30" s="6" t="s">
        <v>81</v>
      </c>
      <c r="C30" s="7">
        <v>43650</v>
      </c>
      <c r="D30" s="8">
        <v>47</v>
      </c>
      <c r="E30" s="9" t="s">
        <v>43</v>
      </c>
      <c r="F30" s="8" t="s">
        <v>114</v>
      </c>
      <c r="G30" s="11" t="s">
        <v>115</v>
      </c>
      <c r="H30" s="8" t="str">
        <f>"000183"</f>
        <v>000183</v>
      </c>
      <c r="I30" s="7">
        <v>43388</v>
      </c>
      <c r="J30" s="8" t="str">
        <f>"000158"</f>
        <v>000158</v>
      </c>
      <c r="K30" s="7">
        <v>43516</v>
      </c>
      <c r="L30" s="8" t="str">
        <f>"000350"</f>
        <v>000350</v>
      </c>
      <c r="M30" s="7">
        <v>43525</v>
      </c>
      <c r="N30" s="8">
        <v>18</v>
      </c>
      <c r="O30" s="8" t="str">
        <f>"003262"</f>
        <v>003262</v>
      </c>
      <c r="P30" s="7">
        <v>43645</v>
      </c>
      <c r="Q30" s="12">
        <v>19.977979999999999</v>
      </c>
      <c r="R30" s="12">
        <v>2.20749</v>
      </c>
      <c r="S30" s="12">
        <v>17.770489999999999</v>
      </c>
      <c r="T30" s="8">
        <v>106</v>
      </c>
      <c r="U30" s="7">
        <v>43650</v>
      </c>
      <c r="V30" s="8">
        <v>9916804340</v>
      </c>
      <c r="W30" s="11" t="s">
        <v>38</v>
      </c>
      <c r="X30" s="8" t="s">
        <v>100</v>
      </c>
      <c r="Y30" s="11" t="s">
        <v>101</v>
      </c>
      <c r="Z30" s="8" t="s">
        <v>48</v>
      </c>
      <c r="AA30" s="11" t="s">
        <v>49</v>
      </c>
      <c r="AB30" s="12">
        <f t="shared" si="1"/>
        <v>0.19977979999999998</v>
      </c>
    </row>
    <row r="31" spans="1:28" s="4" customFormat="1" ht="13" x14ac:dyDescent="0.3">
      <c r="A31" s="5">
        <v>1668</v>
      </c>
      <c r="B31" s="6" t="s">
        <v>81</v>
      </c>
      <c r="C31" s="7">
        <v>43650</v>
      </c>
      <c r="D31" s="8">
        <v>47</v>
      </c>
      <c r="E31" s="9" t="s">
        <v>43</v>
      </c>
      <c r="F31" s="8" t="s">
        <v>116</v>
      </c>
      <c r="G31" s="11" t="s">
        <v>117</v>
      </c>
      <c r="H31" s="8" t="str">
        <f>"000181"</f>
        <v>000181</v>
      </c>
      <c r="I31" s="7">
        <v>43388</v>
      </c>
      <c r="J31" s="8" t="str">
        <f>"000153"</f>
        <v>000153</v>
      </c>
      <c r="K31" s="7">
        <v>43516</v>
      </c>
      <c r="L31" s="8" t="str">
        <f>"000355"</f>
        <v>000355</v>
      </c>
      <c r="M31" s="7">
        <v>43525</v>
      </c>
      <c r="N31" s="8">
        <v>18</v>
      </c>
      <c r="O31" s="8" t="str">
        <f>"003263"</f>
        <v>003263</v>
      </c>
      <c r="P31" s="7">
        <v>43645</v>
      </c>
      <c r="Q31" s="12">
        <v>19.977989999999998</v>
      </c>
      <c r="R31" s="12">
        <v>2.20749</v>
      </c>
      <c r="S31" s="12">
        <v>17.770499999999998</v>
      </c>
      <c r="T31" s="8">
        <v>106</v>
      </c>
      <c r="U31" s="7">
        <v>43650</v>
      </c>
      <c r="V31" s="8">
        <v>9916804340</v>
      </c>
      <c r="W31" s="11" t="s">
        <v>38</v>
      </c>
      <c r="X31" s="8" t="s">
        <v>100</v>
      </c>
      <c r="Y31" s="11" t="s">
        <v>101</v>
      </c>
      <c r="Z31" s="8" t="s">
        <v>48</v>
      </c>
      <c r="AA31" s="11" t="s">
        <v>49</v>
      </c>
      <c r="AB31" s="12">
        <f t="shared" si="1"/>
        <v>0.19977989999999998</v>
      </c>
    </row>
    <row r="32" spans="1:28" s="4" customFormat="1" ht="13" x14ac:dyDescent="0.3">
      <c r="A32" s="5">
        <v>1669</v>
      </c>
      <c r="B32" s="6" t="s">
        <v>81</v>
      </c>
      <c r="C32" s="7">
        <v>43650</v>
      </c>
      <c r="D32" s="8">
        <v>47</v>
      </c>
      <c r="E32" s="9" t="s">
        <v>43</v>
      </c>
      <c r="F32" s="8" t="s">
        <v>118</v>
      </c>
      <c r="G32" s="11" t="s">
        <v>119</v>
      </c>
      <c r="H32" s="8" t="str">
        <f>"000175"</f>
        <v>000175</v>
      </c>
      <c r="I32" s="7">
        <v>43388</v>
      </c>
      <c r="J32" s="8" t="str">
        <f>"000160"</f>
        <v>000160</v>
      </c>
      <c r="K32" s="7">
        <v>43516</v>
      </c>
      <c r="L32" s="8" t="str">
        <f>"000352"</f>
        <v>000352</v>
      </c>
      <c r="M32" s="7">
        <v>43525</v>
      </c>
      <c r="N32" s="8">
        <v>18</v>
      </c>
      <c r="O32" s="8" t="str">
        <f>"003264"</f>
        <v>003264</v>
      </c>
      <c r="P32" s="7">
        <v>43645</v>
      </c>
      <c r="Q32" s="12">
        <v>19.977989999999998</v>
      </c>
      <c r="R32" s="12">
        <v>2.20749</v>
      </c>
      <c r="S32" s="12">
        <v>17.770499999999998</v>
      </c>
      <c r="T32" s="8">
        <v>106</v>
      </c>
      <c r="U32" s="7">
        <v>43650</v>
      </c>
      <c r="V32" s="8">
        <v>9916804340</v>
      </c>
      <c r="W32" s="11" t="s">
        <v>38</v>
      </c>
      <c r="X32" s="8" t="s">
        <v>100</v>
      </c>
      <c r="Y32" s="11" t="s">
        <v>101</v>
      </c>
      <c r="Z32" s="8" t="s">
        <v>48</v>
      </c>
      <c r="AA32" s="11" t="s">
        <v>49</v>
      </c>
      <c r="AB32" s="12">
        <f t="shared" si="1"/>
        <v>0.19977989999999998</v>
      </c>
    </row>
    <row r="33" spans="1:28" s="4" customFormat="1" ht="13" x14ac:dyDescent="0.3">
      <c r="A33" s="5">
        <v>1670</v>
      </c>
      <c r="B33" s="6" t="s">
        <v>81</v>
      </c>
      <c r="C33" s="7">
        <v>43654</v>
      </c>
      <c r="D33" s="8">
        <v>47</v>
      </c>
      <c r="E33" s="9" t="s">
        <v>43</v>
      </c>
      <c r="F33" s="8" t="s">
        <v>60</v>
      </c>
      <c r="G33" s="11" t="s">
        <v>61</v>
      </c>
      <c r="H33" s="8" t="str">
        <f>"000106"</f>
        <v>000106</v>
      </c>
      <c r="I33" s="7">
        <v>43129</v>
      </c>
      <c r="J33" s="8" t="str">
        <f>"000067"</f>
        <v>000067</v>
      </c>
      <c r="K33" s="7">
        <v>43690</v>
      </c>
      <c r="L33" s="8" t="str">
        <f>"000067"</f>
        <v>000067</v>
      </c>
      <c r="M33" s="7">
        <v>43690</v>
      </c>
      <c r="N33" s="8">
        <v>16</v>
      </c>
      <c r="O33" s="8" t="str">
        <f>"004901"</f>
        <v>004901</v>
      </c>
      <c r="P33" s="7">
        <v>43711</v>
      </c>
      <c r="Q33" s="12">
        <v>4.48935</v>
      </c>
      <c r="R33" s="12">
        <v>0.65447</v>
      </c>
      <c r="S33" s="12">
        <v>3.8348800000000001</v>
      </c>
      <c r="T33" s="8">
        <v>109</v>
      </c>
      <c r="U33" s="7">
        <v>43654</v>
      </c>
      <c r="V33" s="8">
        <v>9880795895</v>
      </c>
      <c r="W33" s="11" t="s">
        <v>62</v>
      </c>
      <c r="X33" s="8" t="s">
        <v>29</v>
      </c>
      <c r="Y33" s="11" t="s">
        <v>30</v>
      </c>
      <c r="Z33" s="8" t="s">
        <v>41</v>
      </c>
      <c r="AA33" s="11" t="s">
        <v>42</v>
      </c>
      <c r="AB33" s="12">
        <f t="shared" si="1"/>
        <v>4.4893500000000003E-2</v>
      </c>
    </row>
    <row r="34" spans="1:28" s="4" customFormat="1" ht="13" x14ac:dyDescent="0.3">
      <c r="A34" s="5">
        <v>1671</v>
      </c>
      <c r="B34" s="6" t="s">
        <v>81</v>
      </c>
      <c r="C34" s="7">
        <v>43677</v>
      </c>
      <c r="D34" s="8">
        <v>47</v>
      </c>
      <c r="E34" s="9" t="s">
        <v>43</v>
      </c>
      <c r="F34" s="8" t="s">
        <v>120</v>
      </c>
      <c r="G34" s="11" t="s">
        <v>121</v>
      </c>
      <c r="H34" s="8" t="str">
        <f>"000129"</f>
        <v>000129</v>
      </c>
      <c r="I34" s="7">
        <v>43055</v>
      </c>
      <c r="J34" s="8" t="str">
        <f>"000082"</f>
        <v>000082</v>
      </c>
      <c r="K34" s="7">
        <v>43140</v>
      </c>
      <c r="L34" s="8" t="str">
        <f>"000170"</f>
        <v>000170</v>
      </c>
      <c r="M34" s="7">
        <v>43147</v>
      </c>
      <c r="N34" s="8">
        <v>17</v>
      </c>
      <c r="O34" s="8" t="str">
        <f>"003934"</f>
        <v>003934</v>
      </c>
      <c r="P34" s="7">
        <v>43670</v>
      </c>
      <c r="Q34" s="12">
        <v>19.984249999999999</v>
      </c>
      <c r="R34" s="12">
        <v>1.2219</v>
      </c>
      <c r="S34" s="12">
        <v>18.762350000000001</v>
      </c>
      <c r="T34" s="8">
        <v>135</v>
      </c>
      <c r="U34" s="7">
        <v>43677</v>
      </c>
      <c r="V34" s="8">
        <v>9964121710</v>
      </c>
      <c r="W34" s="11" t="s">
        <v>122</v>
      </c>
      <c r="X34" s="8" t="s">
        <v>88</v>
      </c>
      <c r="Y34" s="11" t="s">
        <v>89</v>
      </c>
      <c r="Z34" s="8" t="s">
        <v>48</v>
      </c>
      <c r="AA34" s="11" t="s">
        <v>49</v>
      </c>
      <c r="AB34" s="12">
        <f t="shared" si="1"/>
        <v>0.19984250000000001</v>
      </c>
    </row>
    <row r="35" spans="1:28" s="4" customFormat="1" ht="13" x14ac:dyDescent="0.3">
      <c r="A35" s="5">
        <v>1672</v>
      </c>
      <c r="B35" s="6" t="s">
        <v>81</v>
      </c>
      <c r="C35" s="7">
        <v>43677</v>
      </c>
      <c r="D35" s="8">
        <v>47</v>
      </c>
      <c r="E35" s="9" t="s">
        <v>43</v>
      </c>
      <c r="F35" s="8" t="s">
        <v>123</v>
      </c>
      <c r="G35" s="11" t="s">
        <v>124</v>
      </c>
      <c r="H35" s="8" t="str">
        <f>"000130"</f>
        <v>000130</v>
      </c>
      <c r="I35" s="7">
        <v>43055</v>
      </c>
      <c r="J35" s="8" t="str">
        <f>"000081"</f>
        <v>000081</v>
      </c>
      <c r="K35" s="7">
        <v>43140</v>
      </c>
      <c r="L35" s="8" t="str">
        <f>"000171"</f>
        <v>000171</v>
      </c>
      <c r="M35" s="7">
        <v>43147</v>
      </c>
      <c r="N35" s="8">
        <v>17</v>
      </c>
      <c r="O35" s="8" t="str">
        <f>"003935"</f>
        <v>003935</v>
      </c>
      <c r="P35" s="7">
        <v>43670</v>
      </c>
      <c r="Q35" s="12">
        <v>19.95196</v>
      </c>
      <c r="R35" s="12">
        <v>1.0432300000000001</v>
      </c>
      <c r="S35" s="12">
        <v>18.908729999999998</v>
      </c>
      <c r="T35" s="8">
        <v>135</v>
      </c>
      <c r="U35" s="7">
        <v>43677</v>
      </c>
      <c r="V35" s="8">
        <v>9964121710</v>
      </c>
      <c r="W35" s="11" t="s">
        <v>122</v>
      </c>
      <c r="X35" s="8" t="s">
        <v>88</v>
      </c>
      <c r="Y35" s="11" t="s">
        <v>89</v>
      </c>
      <c r="Z35" s="8" t="s">
        <v>48</v>
      </c>
      <c r="AA35" s="11" t="s">
        <v>49</v>
      </c>
      <c r="AB35" s="12">
        <f t="shared" si="1"/>
        <v>0.19951959999999999</v>
      </c>
    </row>
    <row r="36" spans="1:28" s="4" customFormat="1" ht="13" x14ac:dyDescent="0.3">
      <c r="A36" s="5">
        <v>1673</v>
      </c>
      <c r="B36" s="6" t="s">
        <v>81</v>
      </c>
      <c r="C36" s="7">
        <v>43677</v>
      </c>
      <c r="D36" s="8">
        <v>47</v>
      </c>
      <c r="E36" s="9" t="s">
        <v>43</v>
      </c>
      <c r="F36" s="8" t="s">
        <v>125</v>
      </c>
      <c r="G36" s="11" t="s">
        <v>126</v>
      </c>
      <c r="H36" s="8" t="str">
        <f>"000134"</f>
        <v>000134</v>
      </c>
      <c r="I36" s="7">
        <v>43055</v>
      </c>
      <c r="J36" s="8" t="str">
        <f>"000080"</f>
        <v>000080</v>
      </c>
      <c r="K36" s="7">
        <v>43140</v>
      </c>
      <c r="L36" s="8" t="str">
        <f>"000172"</f>
        <v>000172</v>
      </c>
      <c r="M36" s="7">
        <v>43147</v>
      </c>
      <c r="N36" s="8">
        <v>17</v>
      </c>
      <c r="O36" s="8" t="str">
        <f>"003936"</f>
        <v>003936</v>
      </c>
      <c r="P36" s="7">
        <v>43670</v>
      </c>
      <c r="Q36" s="12">
        <v>19.96088</v>
      </c>
      <c r="R36" s="12">
        <v>1.04375</v>
      </c>
      <c r="S36" s="12">
        <v>18.91713</v>
      </c>
      <c r="T36" s="8">
        <v>135</v>
      </c>
      <c r="U36" s="7">
        <v>43677</v>
      </c>
      <c r="V36" s="8">
        <v>9964121710</v>
      </c>
      <c r="W36" s="11" t="s">
        <v>122</v>
      </c>
      <c r="X36" s="8" t="s">
        <v>39</v>
      </c>
      <c r="Y36" s="11" t="s">
        <v>40</v>
      </c>
      <c r="Z36" s="8" t="s">
        <v>48</v>
      </c>
      <c r="AA36" s="11" t="s">
        <v>49</v>
      </c>
      <c r="AB36" s="12">
        <f t="shared" si="1"/>
        <v>0.1996088</v>
      </c>
    </row>
    <row r="37" spans="1:28" s="4" customFormat="1" ht="13" x14ac:dyDescent="0.3">
      <c r="A37" s="5">
        <v>1674</v>
      </c>
      <c r="B37" s="6" t="s">
        <v>81</v>
      </c>
      <c r="C37" s="7">
        <v>43677</v>
      </c>
      <c r="D37" s="8">
        <v>47</v>
      </c>
      <c r="E37" s="9" t="s">
        <v>43</v>
      </c>
      <c r="F37" s="8" t="s">
        <v>127</v>
      </c>
      <c r="G37" s="11" t="s">
        <v>128</v>
      </c>
      <c r="H37" s="8" t="str">
        <f>"000119"</f>
        <v>000119</v>
      </c>
      <c r="I37" s="7">
        <v>43049</v>
      </c>
      <c r="J37" s="8" t="str">
        <f>"000088"</f>
        <v>000088</v>
      </c>
      <c r="K37" s="7">
        <v>43158</v>
      </c>
      <c r="L37" s="8" t="str">
        <f>"000186"</f>
        <v>000186</v>
      </c>
      <c r="M37" s="7">
        <v>43158</v>
      </c>
      <c r="N37" s="8">
        <v>17</v>
      </c>
      <c r="O37" s="8" t="str">
        <f>"004065"</f>
        <v>004065</v>
      </c>
      <c r="P37" s="7">
        <v>43672</v>
      </c>
      <c r="Q37" s="12">
        <v>9.8686299999999996</v>
      </c>
      <c r="R37" s="12">
        <v>0.49967</v>
      </c>
      <c r="S37" s="12">
        <v>9.3689599999999995</v>
      </c>
      <c r="T37" s="8">
        <v>135</v>
      </c>
      <c r="U37" s="7">
        <v>43677</v>
      </c>
      <c r="V37" s="8">
        <v>9620306428</v>
      </c>
      <c r="W37" s="11" t="s">
        <v>97</v>
      </c>
      <c r="X37" s="8" t="s">
        <v>129</v>
      </c>
      <c r="Y37" s="11" t="s">
        <v>130</v>
      </c>
      <c r="Z37" s="8" t="s">
        <v>48</v>
      </c>
      <c r="AA37" s="11" t="s">
        <v>49</v>
      </c>
      <c r="AB37" s="12">
        <f t="shared" si="1"/>
        <v>9.8686299999999991E-2</v>
      </c>
    </row>
    <row r="38" spans="1:28" s="4" customFormat="1" ht="13" x14ac:dyDescent="0.3">
      <c r="A38" s="5">
        <v>1675</v>
      </c>
      <c r="B38" s="6" t="s">
        <v>131</v>
      </c>
      <c r="C38" s="7">
        <v>43684</v>
      </c>
      <c r="D38" s="8">
        <v>47</v>
      </c>
      <c r="E38" s="9" t="s">
        <v>43</v>
      </c>
      <c r="F38" s="8" t="s">
        <v>132</v>
      </c>
      <c r="G38" s="11" t="s">
        <v>133</v>
      </c>
      <c r="H38" s="8" t="str">
        <f>"000118"</f>
        <v>000118</v>
      </c>
      <c r="I38" s="7">
        <v>43041</v>
      </c>
      <c r="J38" s="8" t="str">
        <f>"000038"</f>
        <v>000038</v>
      </c>
      <c r="K38" s="7">
        <v>43088</v>
      </c>
      <c r="L38" s="8" t="str">
        <f>"000064"</f>
        <v>000064</v>
      </c>
      <c r="M38" s="7">
        <v>43095</v>
      </c>
      <c r="N38" s="8">
        <v>15</v>
      </c>
      <c r="O38" s="8" t="str">
        <f>"004255"</f>
        <v>004255</v>
      </c>
      <c r="P38" s="7">
        <v>43680</v>
      </c>
      <c r="Q38" s="12">
        <v>15.40456</v>
      </c>
      <c r="R38" s="12">
        <v>0.81745000000000001</v>
      </c>
      <c r="S38" s="12">
        <v>14.587109999999999</v>
      </c>
      <c r="T38" s="8">
        <v>144</v>
      </c>
      <c r="U38" s="7">
        <v>43684</v>
      </c>
      <c r="V38" s="8">
        <v>9916804340</v>
      </c>
      <c r="W38" s="11" t="s">
        <v>134</v>
      </c>
      <c r="X38" s="8" t="s">
        <v>88</v>
      </c>
      <c r="Y38" s="11" t="s">
        <v>89</v>
      </c>
      <c r="Z38" s="8" t="s">
        <v>48</v>
      </c>
      <c r="AA38" s="11" t="s">
        <v>49</v>
      </c>
      <c r="AB38" s="12">
        <f t="shared" si="1"/>
        <v>0.1540456</v>
      </c>
    </row>
    <row r="39" spans="1:28" s="4" customFormat="1" ht="13" x14ac:dyDescent="0.3">
      <c r="A39" s="5">
        <v>1676</v>
      </c>
      <c r="B39" s="6" t="s">
        <v>131</v>
      </c>
      <c r="C39" s="7">
        <v>43684</v>
      </c>
      <c r="D39" s="8">
        <v>47</v>
      </c>
      <c r="E39" s="9" t="s">
        <v>43</v>
      </c>
      <c r="F39" s="8" t="s">
        <v>135</v>
      </c>
      <c r="G39" s="11" t="s">
        <v>136</v>
      </c>
      <c r="H39" s="8" t="str">
        <f>"000012"</f>
        <v>000012</v>
      </c>
      <c r="I39" s="7">
        <v>42979</v>
      </c>
      <c r="J39" s="8" t="str">
        <f>"000037"</f>
        <v>000037</v>
      </c>
      <c r="K39" s="7">
        <v>43083</v>
      </c>
      <c r="L39" s="8" t="str">
        <f>"000065"</f>
        <v>000065</v>
      </c>
      <c r="M39" s="7">
        <v>43095</v>
      </c>
      <c r="N39" s="8">
        <v>17</v>
      </c>
      <c r="O39" s="8" t="str">
        <f>"004264"</f>
        <v>004264</v>
      </c>
      <c r="P39" s="7">
        <v>43680</v>
      </c>
      <c r="Q39" s="12">
        <v>14.99635</v>
      </c>
      <c r="R39" s="12">
        <v>0.69789999999999996</v>
      </c>
      <c r="S39" s="12">
        <v>14.298450000000001</v>
      </c>
      <c r="T39" s="8">
        <v>144</v>
      </c>
      <c r="U39" s="7">
        <v>43684</v>
      </c>
      <c r="V39" s="8">
        <v>9916804340</v>
      </c>
      <c r="W39" s="11" t="s">
        <v>137</v>
      </c>
      <c r="X39" s="8" t="s">
        <v>88</v>
      </c>
      <c r="Y39" s="11" t="s">
        <v>89</v>
      </c>
      <c r="Z39" s="8" t="s">
        <v>48</v>
      </c>
      <c r="AA39" s="11" t="s">
        <v>49</v>
      </c>
      <c r="AB39" s="12">
        <f t="shared" si="1"/>
        <v>0.1499635</v>
      </c>
    </row>
    <row r="40" spans="1:28" s="4" customFormat="1" ht="13" x14ac:dyDescent="0.3">
      <c r="A40" s="5">
        <v>1677</v>
      </c>
      <c r="B40" s="6" t="s">
        <v>138</v>
      </c>
      <c r="C40" s="7">
        <v>43719</v>
      </c>
      <c r="D40" s="8">
        <v>47</v>
      </c>
      <c r="E40" s="9" t="s">
        <v>43</v>
      </c>
      <c r="F40" s="8" t="s">
        <v>60</v>
      </c>
      <c r="G40" s="11" t="s">
        <v>61</v>
      </c>
      <c r="H40" s="8" t="str">
        <f>"000106"</f>
        <v>000106</v>
      </c>
      <c r="I40" s="7">
        <v>43129</v>
      </c>
      <c r="J40" s="8" t="str">
        <f>"000067"</f>
        <v>000067</v>
      </c>
      <c r="K40" s="7">
        <v>43690</v>
      </c>
      <c r="L40" s="8" t="str">
        <f>"000067"</f>
        <v>000067</v>
      </c>
      <c r="M40" s="7">
        <v>43690</v>
      </c>
      <c r="N40" s="8">
        <v>16</v>
      </c>
      <c r="O40" s="8" t="str">
        <f>"004901"</f>
        <v>004901</v>
      </c>
      <c r="P40" s="7">
        <v>43711</v>
      </c>
      <c r="Q40" s="12">
        <v>2.2446700000000002</v>
      </c>
      <c r="R40" s="12">
        <v>0.31248999999999999</v>
      </c>
      <c r="S40" s="12">
        <v>1.93218</v>
      </c>
      <c r="T40" s="8">
        <v>179</v>
      </c>
      <c r="U40" s="7">
        <v>43719</v>
      </c>
      <c r="V40" s="8">
        <v>9880795895</v>
      </c>
      <c r="W40" s="11" t="s">
        <v>62</v>
      </c>
      <c r="X40" s="8" t="s">
        <v>29</v>
      </c>
      <c r="Y40" s="11" t="s">
        <v>30</v>
      </c>
      <c r="Z40" s="8" t="s">
        <v>41</v>
      </c>
      <c r="AA40" s="11" t="s">
        <v>42</v>
      </c>
      <c r="AB40" s="12">
        <f t="shared" si="1"/>
        <v>2.24467E-2</v>
      </c>
    </row>
    <row r="41" spans="1:28" s="4" customFormat="1" ht="13" x14ac:dyDescent="0.3">
      <c r="A41" s="5">
        <v>1678</v>
      </c>
      <c r="B41" s="6" t="s">
        <v>139</v>
      </c>
      <c r="C41" s="7">
        <v>43752</v>
      </c>
      <c r="D41" s="5">
        <v>47</v>
      </c>
      <c r="E41" s="9" t="s">
        <v>43</v>
      </c>
      <c r="F41" s="8" t="s">
        <v>140</v>
      </c>
      <c r="G41" s="9" t="s">
        <v>141</v>
      </c>
      <c r="H41" s="8" t="str">
        <f>"000127"</f>
        <v>000127</v>
      </c>
      <c r="I41" s="7">
        <v>43374</v>
      </c>
      <c r="J41" s="8" t="str">
        <f>"000028"</f>
        <v>000028</v>
      </c>
      <c r="K41" s="7">
        <v>43727</v>
      </c>
      <c r="L41" s="8" t="str">
        <f>"000159"</f>
        <v>000159</v>
      </c>
      <c r="M41" s="7">
        <v>43728</v>
      </c>
      <c r="N41" s="8">
        <v>18</v>
      </c>
      <c r="O41" s="8" t="str">
        <f>"005751"</f>
        <v>005751</v>
      </c>
      <c r="P41" s="7">
        <v>43749</v>
      </c>
      <c r="Q41" s="10">
        <v>19.99174</v>
      </c>
      <c r="R41" s="10">
        <v>2.7330199999999998</v>
      </c>
      <c r="S41" s="10">
        <v>17.25872</v>
      </c>
      <c r="T41" s="8">
        <v>13</v>
      </c>
      <c r="U41" s="7">
        <v>43752</v>
      </c>
      <c r="V41" s="8">
        <v>9686096929</v>
      </c>
      <c r="W41" s="9" t="s">
        <v>38</v>
      </c>
      <c r="X41" s="8" t="s">
        <v>142</v>
      </c>
      <c r="Y41" s="9" t="s">
        <v>143</v>
      </c>
      <c r="Z41" s="8" t="s">
        <v>48</v>
      </c>
      <c r="AA41" s="9" t="s">
        <v>49</v>
      </c>
      <c r="AB41" s="10">
        <v>0.1999174</v>
      </c>
    </row>
    <row r="42" spans="1:28" s="4" customFormat="1" ht="13" x14ac:dyDescent="0.3">
      <c r="A42" s="5">
        <v>1679</v>
      </c>
      <c r="B42" s="6" t="s">
        <v>144</v>
      </c>
      <c r="C42" s="7">
        <v>43805</v>
      </c>
      <c r="D42" s="5">
        <v>47</v>
      </c>
      <c r="E42" s="9" t="s">
        <v>43</v>
      </c>
      <c r="F42" s="8" t="s">
        <v>145</v>
      </c>
      <c r="G42" s="9" t="s">
        <v>146</v>
      </c>
      <c r="H42" s="8" t="str">
        <f>"000132"</f>
        <v>000132</v>
      </c>
      <c r="I42" s="7">
        <v>43055</v>
      </c>
      <c r="J42" s="8" t="str">
        <f>"000012"</f>
        <v>000012</v>
      </c>
      <c r="K42" s="7">
        <v>43242</v>
      </c>
      <c r="L42" s="8" t="str">
        <f>"000033"</f>
        <v>000033</v>
      </c>
      <c r="M42" s="7">
        <v>43242</v>
      </c>
      <c r="N42" s="8">
        <v>17</v>
      </c>
      <c r="O42" s="8" t="str">
        <f>"006516"</f>
        <v>006516</v>
      </c>
      <c r="P42" s="7">
        <v>43802</v>
      </c>
      <c r="Q42" s="10">
        <v>14.9931</v>
      </c>
      <c r="R42" s="10">
        <v>0.67715000000000003</v>
      </c>
      <c r="S42" s="10">
        <v>14.315950000000001</v>
      </c>
      <c r="T42" s="8">
        <v>13</v>
      </c>
      <c r="U42" s="7">
        <v>43805</v>
      </c>
      <c r="V42" s="8">
        <v>9964121710</v>
      </c>
      <c r="W42" s="9" t="s">
        <v>122</v>
      </c>
      <c r="X42" s="8" t="s">
        <v>88</v>
      </c>
      <c r="Y42" s="9" t="s">
        <v>89</v>
      </c>
      <c r="Z42" s="8" t="s">
        <v>48</v>
      </c>
      <c r="AA42" s="9" t="s">
        <v>49</v>
      </c>
      <c r="AB42" s="10">
        <v>0.14993100000000001</v>
      </c>
    </row>
    <row r="43" spans="1:28" s="4" customFormat="1" ht="13" x14ac:dyDescent="0.3">
      <c r="A43" s="5">
        <v>1680</v>
      </c>
      <c r="B43" s="6" t="s">
        <v>144</v>
      </c>
      <c r="C43" s="7">
        <v>43805</v>
      </c>
      <c r="D43" s="5">
        <v>47</v>
      </c>
      <c r="E43" s="9" t="s">
        <v>43</v>
      </c>
      <c r="F43" s="8" t="s">
        <v>147</v>
      </c>
      <c r="G43" s="9" t="s">
        <v>148</v>
      </c>
      <c r="H43" s="8" t="str">
        <f>"000131"</f>
        <v>000131</v>
      </c>
      <c r="I43" s="7">
        <v>43055</v>
      </c>
      <c r="J43" s="8" t="str">
        <f>"000010"</f>
        <v>000010</v>
      </c>
      <c r="K43" s="7">
        <v>43242</v>
      </c>
      <c r="L43" s="8" t="str">
        <f>"000034"</f>
        <v>000034</v>
      </c>
      <c r="M43" s="7">
        <v>43242</v>
      </c>
      <c r="N43" s="8">
        <v>17</v>
      </c>
      <c r="O43" s="8" t="str">
        <f>"006517"</f>
        <v>006517</v>
      </c>
      <c r="P43" s="7">
        <v>43802</v>
      </c>
      <c r="Q43" s="10">
        <v>14.944900000000001</v>
      </c>
      <c r="R43" s="10">
        <v>0.91579999999999995</v>
      </c>
      <c r="S43" s="10">
        <v>14.0291</v>
      </c>
      <c r="T43" s="8">
        <v>13</v>
      </c>
      <c r="U43" s="7">
        <v>43805</v>
      </c>
      <c r="V43" s="8">
        <v>9964121710</v>
      </c>
      <c r="W43" s="9" t="s">
        <v>122</v>
      </c>
      <c r="X43" s="8" t="s">
        <v>39</v>
      </c>
      <c r="Y43" s="9" t="s">
        <v>40</v>
      </c>
      <c r="Z43" s="8" t="s">
        <v>48</v>
      </c>
      <c r="AA43" s="9" t="s">
        <v>49</v>
      </c>
      <c r="AB43" s="10">
        <v>0.149449</v>
      </c>
    </row>
    <row r="44" spans="1:28" s="4" customFormat="1" ht="13" x14ac:dyDescent="0.3">
      <c r="A44" s="5">
        <v>1681</v>
      </c>
      <c r="B44" s="6" t="s">
        <v>144</v>
      </c>
      <c r="C44" s="7">
        <v>43805</v>
      </c>
      <c r="D44" s="5">
        <v>47</v>
      </c>
      <c r="E44" s="9" t="s">
        <v>43</v>
      </c>
      <c r="F44" s="8" t="s">
        <v>149</v>
      </c>
      <c r="G44" s="9" t="s">
        <v>150</v>
      </c>
      <c r="H44" s="8" t="str">
        <f>"000133"</f>
        <v>000133</v>
      </c>
      <c r="I44" s="7">
        <v>43055</v>
      </c>
      <c r="J44" s="8" t="str">
        <f>"000009"</f>
        <v>000009</v>
      </c>
      <c r="K44" s="7">
        <v>43242</v>
      </c>
      <c r="L44" s="8" t="str">
        <f>"000035"</f>
        <v>000035</v>
      </c>
      <c r="M44" s="7">
        <v>43242</v>
      </c>
      <c r="N44" s="8">
        <v>17</v>
      </c>
      <c r="O44" s="8" t="str">
        <f>"006518"</f>
        <v>006518</v>
      </c>
      <c r="P44" s="7">
        <v>43802</v>
      </c>
      <c r="Q44" s="10">
        <v>19.165199999999999</v>
      </c>
      <c r="R44" s="10">
        <v>0.99380000000000002</v>
      </c>
      <c r="S44" s="10">
        <v>18.171399999999998</v>
      </c>
      <c r="T44" s="8">
        <v>13</v>
      </c>
      <c r="U44" s="7">
        <v>43805</v>
      </c>
      <c r="V44" s="8">
        <v>9964121710</v>
      </c>
      <c r="W44" s="9" t="s">
        <v>122</v>
      </c>
      <c r="X44" s="8" t="s">
        <v>39</v>
      </c>
      <c r="Y44" s="9" t="s">
        <v>40</v>
      </c>
      <c r="Z44" s="8" t="s">
        <v>48</v>
      </c>
      <c r="AA44" s="9" t="s">
        <v>49</v>
      </c>
      <c r="AB44" s="10">
        <v>0.19165199999999999</v>
      </c>
    </row>
    <row r="45" spans="1:28" s="4" customFormat="1" ht="13" x14ac:dyDescent="0.3">
      <c r="A45" s="5">
        <v>1682</v>
      </c>
      <c r="B45" s="6" t="s">
        <v>144</v>
      </c>
      <c r="C45" s="7">
        <v>43805</v>
      </c>
      <c r="D45" s="5">
        <v>47</v>
      </c>
      <c r="E45" s="9" t="s">
        <v>43</v>
      </c>
      <c r="F45" s="8" t="s">
        <v>151</v>
      </c>
      <c r="G45" s="9" t="s">
        <v>152</v>
      </c>
      <c r="H45" s="8" t="str">
        <f>"000049"</f>
        <v>000049</v>
      </c>
      <c r="I45" s="7">
        <v>42509</v>
      </c>
      <c r="J45" s="8" t="str">
        <f>"000096"</f>
        <v>000096</v>
      </c>
      <c r="K45" s="7">
        <v>42766</v>
      </c>
      <c r="L45" s="8" t="str">
        <f>"000455"</f>
        <v>000455</v>
      </c>
      <c r="M45" s="7">
        <v>42794</v>
      </c>
      <c r="N45" s="8">
        <v>16</v>
      </c>
      <c r="O45" s="8" t="str">
        <f>"006543"</f>
        <v>006543</v>
      </c>
      <c r="P45" s="7">
        <v>43802</v>
      </c>
      <c r="Q45" s="10">
        <v>2.9781</v>
      </c>
      <c r="R45" s="10">
        <v>0.23466000000000001</v>
      </c>
      <c r="S45" s="10">
        <v>2.7434400000000001</v>
      </c>
      <c r="T45" s="8">
        <v>13</v>
      </c>
      <c r="U45" s="7">
        <v>43805</v>
      </c>
      <c r="V45" s="8">
        <v>9916804340</v>
      </c>
      <c r="W45" s="9" t="s">
        <v>153</v>
      </c>
      <c r="X45" s="8" t="s">
        <v>88</v>
      </c>
      <c r="Y45" s="9" t="s">
        <v>89</v>
      </c>
      <c r="Z45" s="8" t="s">
        <v>48</v>
      </c>
      <c r="AA45" s="9" t="s">
        <v>49</v>
      </c>
      <c r="AB45" s="10">
        <v>2.9780999999999998E-2</v>
      </c>
    </row>
    <row r="46" spans="1:28" s="4" customFormat="1" ht="13" x14ac:dyDescent="0.3">
      <c r="A46" s="5">
        <v>1683</v>
      </c>
      <c r="B46" s="6" t="s">
        <v>144</v>
      </c>
      <c r="C46" s="7">
        <v>43805</v>
      </c>
      <c r="D46" s="5">
        <v>47</v>
      </c>
      <c r="E46" s="9" t="s">
        <v>43</v>
      </c>
      <c r="F46" s="8" t="s">
        <v>154</v>
      </c>
      <c r="G46" s="9" t="s">
        <v>155</v>
      </c>
      <c r="H46" s="8" t="str">
        <f>"000050"</f>
        <v>000050</v>
      </c>
      <c r="I46" s="7">
        <v>42509</v>
      </c>
      <c r="J46" s="8" t="str">
        <f>"000095"</f>
        <v>000095</v>
      </c>
      <c r="K46" s="7">
        <v>42766</v>
      </c>
      <c r="L46" s="8" t="str">
        <f>"000456"</f>
        <v>000456</v>
      </c>
      <c r="M46" s="7">
        <v>42794</v>
      </c>
      <c r="N46" s="8">
        <v>16</v>
      </c>
      <c r="O46" s="8" t="str">
        <f>"006544"</f>
        <v>006544</v>
      </c>
      <c r="P46" s="7">
        <v>43802</v>
      </c>
      <c r="Q46" s="10">
        <v>2.9910000000000001</v>
      </c>
      <c r="R46" s="10">
        <v>0.23769999999999999</v>
      </c>
      <c r="S46" s="10">
        <v>2.7532999999999999</v>
      </c>
      <c r="T46" s="8">
        <v>13</v>
      </c>
      <c r="U46" s="7">
        <v>43805</v>
      </c>
      <c r="V46" s="8">
        <v>9916804340</v>
      </c>
      <c r="W46" s="9" t="s">
        <v>153</v>
      </c>
      <c r="X46" s="8" t="s">
        <v>88</v>
      </c>
      <c r="Y46" s="9" t="s">
        <v>89</v>
      </c>
      <c r="Z46" s="8" t="s">
        <v>48</v>
      </c>
      <c r="AA46" s="9" t="s">
        <v>49</v>
      </c>
      <c r="AB46" s="10">
        <v>2.9910000000000003E-2</v>
      </c>
    </row>
    <row r="47" spans="1:28" s="4" customFormat="1" ht="13" x14ac:dyDescent="0.3">
      <c r="A47" s="5">
        <v>1684</v>
      </c>
      <c r="B47" s="6" t="s">
        <v>144</v>
      </c>
      <c r="C47" s="7">
        <v>43805</v>
      </c>
      <c r="D47" s="5">
        <v>47</v>
      </c>
      <c r="E47" s="9" t="s">
        <v>43</v>
      </c>
      <c r="F47" s="8" t="s">
        <v>156</v>
      </c>
      <c r="G47" s="9" t="s">
        <v>157</v>
      </c>
      <c r="H47" s="8" t="str">
        <f>"000048"</f>
        <v>000048</v>
      </c>
      <c r="I47" s="7">
        <v>43613</v>
      </c>
      <c r="J47" s="8" t="str">
        <f>"000013"</f>
        <v>000013</v>
      </c>
      <c r="K47" s="7">
        <v>43614</v>
      </c>
      <c r="L47" s="8" t="str">
        <f>"000098"</f>
        <v>000098</v>
      </c>
      <c r="M47" s="7">
        <v>43658</v>
      </c>
      <c r="N47" s="8">
        <v>18</v>
      </c>
      <c r="O47" s="8" t="str">
        <f>"006641"</f>
        <v>006641</v>
      </c>
      <c r="P47" s="7">
        <v>43803</v>
      </c>
      <c r="Q47" s="10">
        <v>49.594799999999999</v>
      </c>
      <c r="R47" s="10">
        <v>4.7037599999999999</v>
      </c>
      <c r="S47" s="10">
        <v>44.891039999999997</v>
      </c>
      <c r="T47" s="8">
        <v>13</v>
      </c>
      <c r="U47" s="7">
        <v>43805</v>
      </c>
      <c r="V47" s="8">
        <v>9916804340</v>
      </c>
      <c r="W47" s="9" t="s">
        <v>38</v>
      </c>
      <c r="X47" s="8" t="s">
        <v>33</v>
      </c>
      <c r="Y47" s="9" t="s">
        <v>34</v>
      </c>
      <c r="Z47" s="8" t="s">
        <v>48</v>
      </c>
      <c r="AA47" s="9" t="s">
        <v>49</v>
      </c>
      <c r="AB47" s="10">
        <v>0.495948</v>
      </c>
    </row>
    <row r="48" spans="1:28" s="4" customFormat="1" ht="13" x14ac:dyDescent="0.3">
      <c r="A48" s="5">
        <v>1685</v>
      </c>
      <c r="B48" s="6" t="s">
        <v>144</v>
      </c>
      <c r="C48" s="7">
        <v>43805</v>
      </c>
      <c r="D48" s="5">
        <v>47</v>
      </c>
      <c r="E48" s="9" t="s">
        <v>43</v>
      </c>
      <c r="F48" s="8" t="s">
        <v>158</v>
      </c>
      <c r="G48" s="9" t="s">
        <v>159</v>
      </c>
      <c r="H48" s="8" t="str">
        <f>"000047"</f>
        <v>000047</v>
      </c>
      <c r="I48" s="7">
        <v>43613</v>
      </c>
      <c r="J48" s="8" t="str">
        <f>"000012"</f>
        <v>000012</v>
      </c>
      <c r="K48" s="7">
        <v>43613</v>
      </c>
      <c r="L48" s="8" t="str">
        <f>"000099"</f>
        <v>000099</v>
      </c>
      <c r="M48" s="7">
        <v>43658</v>
      </c>
      <c r="N48" s="8">
        <v>18</v>
      </c>
      <c r="O48" s="8" t="str">
        <f>"006642"</f>
        <v>006642</v>
      </c>
      <c r="P48" s="7">
        <v>43803</v>
      </c>
      <c r="Q48" s="10">
        <v>49.559849999999997</v>
      </c>
      <c r="R48" s="10">
        <v>4.70566</v>
      </c>
      <c r="S48" s="10">
        <v>44.854190000000003</v>
      </c>
      <c r="T48" s="8">
        <v>13</v>
      </c>
      <c r="U48" s="7">
        <v>43805</v>
      </c>
      <c r="V48" s="8">
        <v>9916804340</v>
      </c>
      <c r="W48" s="9" t="s">
        <v>38</v>
      </c>
      <c r="X48" s="8" t="s">
        <v>33</v>
      </c>
      <c r="Y48" s="9" t="s">
        <v>34</v>
      </c>
      <c r="Z48" s="8" t="s">
        <v>48</v>
      </c>
      <c r="AA48" s="9" t="s">
        <v>49</v>
      </c>
      <c r="AB48" s="10">
        <v>0.4955985</v>
      </c>
    </row>
    <row r="49" spans="1:28" s="4" customFormat="1" ht="13" x14ac:dyDescent="0.3">
      <c r="A49" s="5">
        <v>1686</v>
      </c>
      <c r="B49" s="6" t="s">
        <v>144</v>
      </c>
      <c r="C49" s="7">
        <v>43816</v>
      </c>
      <c r="D49" s="5">
        <v>47</v>
      </c>
      <c r="E49" s="9" t="s">
        <v>43</v>
      </c>
      <c r="F49" s="8" t="s">
        <v>60</v>
      </c>
      <c r="G49" s="9" t="s">
        <v>61</v>
      </c>
      <c r="H49" s="8" t="str">
        <f>"000106"</f>
        <v>000106</v>
      </c>
      <c r="I49" s="7">
        <v>43129</v>
      </c>
      <c r="J49" s="8" t="str">
        <f>"000136"</f>
        <v>000136</v>
      </c>
      <c r="K49" s="7">
        <v>43798</v>
      </c>
      <c r="L49" s="8" t="str">
        <f>"000136"</f>
        <v>000136</v>
      </c>
      <c r="M49" s="7">
        <v>43798</v>
      </c>
      <c r="N49" s="8">
        <v>16</v>
      </c>
      <c r="O49" s="8" t="str">
        <f>"006826"</f>
        <v>006826</v>
      </c>
      <c r="P49" s="7">
        <v>43815</v>
      </c>
      <c r="Q49" s="10">
        <v>3.3669699999999998</v>
      </c>
      <c r="R49" s="10">
        <v>0.44568000000000002</v>
      </c>
      <c r="S49" s="10">
        <v>2.9212899999999999</v>
      </c>
      <c r="T49" s="8">
        <v>13</v>
      </c>
      <c r="U49" s="7">
        <v>43816</v>
      </c>
      <c r="V49" s="8">
        <v>9880795895</v>
      </c>
      <c r="W49" s="9" t="s">
        <v>62</v>
      </c>
      <c r="X49" s="8" t="s">
        <v>29</v>
      </c>
      <c r="Y49" s="9" t="s">
        <v>30</v>
      </c>
      <c r="Z49" s="8" t="s">
        <v>41</v>
      </c>
      <c r="AA49" s="9" t="s">
        <v>42</v>
      </c>
      <c r="AB49" s="10">
        <v>3.3669699999999997E-2</v>
      </c>
    </row>
    <row r="50" spans="1:28" s="4" customFormat="1" ht="13" x14ac:dyDescent="0.3">
      <c r="A50" s="5">
        <v>1687</v>
      </c>
      <c r="B50" s="6" t="s">
        <v>144</v>
      </c>
      <c r="C50" s="7">
        <v>43818</v>
      </c>
      <c r="D50" s="5">
        <v>47</v>
      </c>
      <c r="E50" s="9" t="s">
        <v>43</v>
      </c>
      <c r="F50" s="8" t="s">
        <v>160</v>
      </c>
      <c r="G50" s="9" t="s">
        <v>161</v>
      </c>
      <c r="H50" s="8" t="str">
        <f>"000117"</f>
        <v>000117</v>
      </c>
      <c r="I50" s="7">
        <v>43678</v>
      </c>
      <c r="J50" s="8" t="str">
        <f>"000023"</f>
        <v>000023</v>
      </c>
      <c r="K50" s="7">
        <v>43682</v>
      </c>
      <c r="L50" s="8" t="str">
        <f>"000134"</f>
        <v>000134</v>
      </c>
      <c r="M50" s="7">
        <v>43703</v>
      </c>
      <c r="N50" s="8">
        <v>18</v>
      </c>
      <c r="O50" s="8" t="str">
        <f>"006879"</f>
        <v>006879</v>
      </c>
      <c r="P50" s="7">
        <v>43818</v>
      </c>
      <c r="Q50" s="10">
        <v>49.746000000000002</v>
      </c>
      <c r="R50" s="10">
        <v>4.9001000000000001</v>
      </c>
      <c r="S50" s="10">
        <v>44.8459</v>
      </c>
      <c r="T50" s="8">
        <v>13</v>
      </c>
      <c r="U50" s="7">
        <v>43818</v>
      </c>
      <c r="V50" s="8">
        <v>9916804340</v>
      </c>
      <c r="W50" s="9" t="s">
        <v>38</v>
      </c>
      <c r="X50" s="8" t="s">
        <v>33</v>
      </c>
      <c r="Y50" s="9" t="s">
        <v>34</v>
      </c>
      <c r="Z50" s="8" t="s">
        <v>48</v>
      </c>
      <c r="AA50" s="9" t="s">
        <v>49</v>
      </c>
      <c r="AB50" s="10">
        <v>0.49746000000000001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2020-01-28T11:48:05Z</dcterms:modified>
</cp:coreProperties>
</file>