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1" l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<sst xmlns="http://schemas.openxmlformats.org/spreadsheetml/2006/main" count="343" uniqueCount="146">
  <si>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</si>
  <si>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</si>
  <si>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</si>
  <si>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</si>
  <si>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</si>
  <si>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</si>
  <si>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</si>
  <si>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</si>
  <si>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</si>
  <si>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</si>
  <si>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</si>
  <si>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</si>
  <si>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</si>
  <si>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</si>
  <si>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</si>
  <si>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</si>
  <si>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</si>
  <si>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</si>
  <si>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</si>
  <si>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</si>
  <si>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</si>
  <si>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</si>
  <si>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</si>
  <si>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</si>
  <si>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</si>
  <si>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</si>
  <si>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</si>
  <si>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</si>
  <si>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</si>
  <si>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</si>
  <si>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</si>
  <si>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</si>
  <si>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</si>
  <si>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P3106</t>
  </si>
  <si>
    <t>Nagarothana Works</t>
  </si>
  <si>
    <t>P1802</t>
  </si>
  <si>
    <t>Water Supply New Areas</t>
  </si>
  <si>
    <t>P1878</t>
  </si>
  <si>
    <t>18per - Works (Bhagyajyothi, Sooru / Neeru Yojane and General) (54 Lakhs / New Wards)</t>
  </si>
  <si>
    <t>P3296</t>
  </si>
  <si>
    <t>14th Finance Commission Works - Road and Footpath Maintenance</t>
  </si>
  <si>
    <t xml:space="preserve">M/s KRIDL </t>
  </si>
  <si>
    <t>Muneshwara Nagara</t>
  </si>
  <si>
    <t>048-14-000024</t>
  </si>
  <si>
    <t>PROVIDING MINI WATER SUPPLY SCHEME AT MODI KAREEM SAB LANE AND SURROUNDING IN WARD NO 48</t>
  </si>
  <si>
    <t>Virupaksha Constructions</t>
  </si>
  <si>
    <t>ddo079</t>
  </si>
  <si>
    <t xml:space="preserve"> Assistant Executive Engineer K G Halli East Zone</t>
  </si>
  <si>
    <t>048-18-000004</t>
  </si>
  <si>
    <t>Community Property maintenance (including parks) ward no 48</t>
  </si>
  <si>
    <t>P3292</t>
  </si>
  <si>
    <t>14th Finance Commission Works - Community Property Maintenance (including Parks)</t>
  </si>
  <si>
    <t>048-18-000008</t>
  </si>
  <si>
    <t>Roads and Footpath Maintenance in ward no 48</t>
  </si>
  <si>
    <t>048-18-000011</t>
  </si>
  <si>
    <t>IMPROVEMENTS OF ROADS AND DRAINS AT PERIYARNAGAR  RAJANI MURTHY HOUSE ROAD IN WARD NO 48</t>
  </si>
  <si>
    <t>048-18-000012</t>
  </si>
  <si>
    <t>IMPROVEMENTS OF ROADS AND DRAINS AT KUPPAM COMPOUND AND SURROUNDING AREA IN WARD NO 48</t>
  </si>
  <si>
    <t>048-18-000013</t>
  </si>
  <si>
    <t>IMPROVEMENTS OF ROADS AND DRAINS AT KAVERINAGAR AND SURROUNDING AREA IN WARD NO 48</t>
  </si>
  <si>
    <t>048-18-000014</t>
  </si>
  <si>
    <t>IMPROVEMNTS OF ROADS AND DRAINS AT RAJAPPA BLOCK AND SURROUNDIG AREA IN WARD NO 48</t>
  </si>
  <si>
    <t>048-17-000023</t>
  </si>
  <si>
    <t>Providing and Construction of L-Shape drain at Coffee Board colony in Ward No.48.</t>
  </si>
  <si>
    <t>Lokanath Reddy</t>
  </si>
  <si>
    <t>048-17-000025</t>
  </si>
  <si>
    <t>Construction of culverts in Ward No.48.</t>
  </si>
  <si>
    <t>Tulasi Ram Reddy</t>
  </si>
  <si>
    <t>048-18-000015</t>
  </si>
  <si>
    <t>IMPROVEMNTS OF ROADS AND DRAINS AT SANDYAVOONAGAR AND SURROUNDING AREA IN WARD NO 48</t>
  </si>
  <si>
    <t>048-18-000001</t>
  </si>
  <si>
    <t>Remodelling of SWD from Alamiya Govt school to Modi Garden (Football ground) in ward No: 48</t>
  </si>
  <si>
    <t>M/s Alpha MERS</t>
  </si>
  <si>
    <t>ddo313</t>
  </si>
  <si>
    <t xml:space="preserve"> Chief Engineer SWD Central Zone</t>
  </si>
  <si>
    <t>048-18-000002</t>
  </si>
  <si>
    <t>Desilting and improvements to drain from Shampura main road to Kaverinagar in ward no 48</t>
  </si>
  <si>
    <t>P3291</t>
  </si>
  <si>
    <t>14th Fin  -Maintenance of Cremotorium, Burial Grounds</t>
  </si>
  <si>
    <t>048-18-000005</t>
  </si>
  <si>
    <t>Drinking Water in ward no 48</t>
  </si>
  <si>
    <t>P3293</t>
  </si>
  <si>
    <t>14th Finance Commission Works - Drinking Water</t>
  </si>
  <si>
    <t>048-18-000009</t>
  </si>
  <si>
    <t>Storm water drain in ward no 48</t>
  </si>
  <si>
    <t>P3297</t>
  </si>
  <si>
    <t>14th Finance Commission Grants - SWD Works</t>
  </si>
  <si>
    <t>048-17-000011</t>
  </si>
  <si>
    <t>CONSTRUCTION AND IMPROVEMENTS OF CC ROADS AND DRAINS AT AMBEDKAR NAGAR B AND C BLOCK AND SURROUNDINGS IN WARD NO 48</t>
  </si>
  <si>
    <t>M/s KRIDL</t>
  </si>
  <si>
    <t>P2023</t>
  </si>
  <si>
    <t>Allocation for Other Programmes (10.88 Lakhs , New Ward)</t>
  </si>
  <si>
    <t>048-17-000019</t>
  </si>
  <si>
    <t>Desilting of drains at Shampura main road, S.R. Block and surrounding area in Ward No.48.</t>
  </si>
  <si>
    <t>M.B. Hombal</t>
  </si>
  <si>
    <t>048-17-000024</t>
  </si>
  <si>
    <t>Improvements to drain at Kaverinagar and surrounding area in Ward No.48.</t>
  </si>
  <si>
    <t>048-17-000018</t>
  </si>
  <si>
    <t>Desilting of drains at Vishweshwaiah Nagar, Kaverinagar and surrounding area in Ward No.48.</t>
  </si>
  <si>
    <t>048-17-000020</t>
  </si>
  <si>
    <t>Desilting of drains at D.J.Halli main road, Periyarnagar and surrounding area in Ward No.48.</t>
  </si>
  <si>
    <t>July</t>
  </si>
  <si>
    <t>048-15-000021</t>
  </si>
  <si>
    <t>Improvements work of Contact Point in ward no 48</t>
  </si>
  <si>
    <t>B.V. Muniraju</t>
  </si>
  <si>
    <t>P3075</t>
  </si>
  <si>
    <t>Special comprehensive development works in Bangalore city (Bangalore city in charge Minister Discretionary Grants)</t>
  </si>
  <si>
    <t>048-15-000019</t>
  </si>
  <si>
    <t xml:space="preserve">Construction of IPP Hospital Building 1st floor in ward no 48 </t>
  </si>
  <si>
    <t>B V Muniraju</t>
  </si>
  <si>
    <t>048-18-000006</t>
  </si>
  <si>
    <t>General public toilet and septage maintenance in ward no 48</t>
  </si>
  <si>
    <t>P3294</t>
  </si>
  <si>
    <t>14th Finance Commission Works - General Public ToiletandSeptage Maintenance</t>
  </si>
  <si>
    <t>048-16-000014</t>
  </si>
  <si>
    <t>PROVIDING POT HOLES FILLING AT AMAR SCHOOL AND SURROUNDING AREA IN WARD NO 48</t>
  </si>
  <si>
    <t>048-16-000004</t>
  </si>
  <si>
    <t>DESILTING OF DRAINS SHADABNAGAR AND SURROUNDING AREA IN WARD NO 48</t>
  </si>
  <si>
    <t>048-16-000006</t>
  </si>
  <si>
    <t>DESILTING OF DRAINS PERIARNAGAR AND SURROUNDING AREA IN WARD NO 48</t>
  </si>
  <si>
    <t>048-16-000013</t>
  </si>
  <si>
    <t>PROVIDING POT HOLES FILLING SHADABNAGAR AND SURROUNDING AREA IN WARD NO 48</t>
  </si>
  <si>
    <t>048-16-000008</t>
  </si>
  <si>
    <t>DESILTING OF DRAINS AMBEDKARNAGAR AND SURROUNDING AREA IN WARD NO 48</t>
  </si>
  <si>
    <t>048-16-000005</t>
  </si>
  <si>
    <t>DESILTING OF DRAINS AMAR SCHOOL AND SURROUNDING AREA IN WARD NO 48</t>
  </si>
  <si>
    <t>048-16-000007</t>
  </si>
  <si>
    <t>DESILTING OF DRAINS VISHWESHWARAIAH NAGAR AND SURROUNDING AREA IN WARD NO 48</t>
  </si>
  <si>
    <t>048-14-000003</t>
  </si>
  <si>
    <t>CONSTRUCTION OF RCC DRAIN AT VENKATAPPA COMPOUND IN WARD NO 48</t>
  </si>
  <si>
    <t>B.R Pradeep</t>
  </si>
  <si>
    <t>August</t>
  </si>
  <si>
    <t>M/s J C Prakash Infrastructure Pvt Ltd</t>
  </si>
  <si>
    <t>048-16-000009</t>
  </si>
  <si>
    <t>CONSTRUCTION OF CULVERTS IN WARD NO 48</t>
  </si>
  <si>
    <t>Nagalli Venkappashetty</t>
  </si>
  <si>
    <t>048-16-000010</t>
  </si>
  <si>
    <t>DRILLING OF BOREWELL AT ANAND THEATER BACK SIDE SANDYA NAGAR SR BLOCK VISHWESHWARAIAHNAGAR AND COFFEE BOARD COLONY IN WARD NO 48</t>
  </si>
  <si>
    <t>September</t>
  </si>
  <si>
    <t>048-16-000015</t>
  </si>
  <si>
    <t>Comprehensive Development of Roads &amp; Drains in wards 47, 61, 78 (no of works 12 ) of Pulikeshinagar Division</t>
  </si>
  <si>
    <t>M/s Alcon Consulting Engineer (India) Pvt Ltd</t>
  </si>
  <si>
    <t>October</t>
  </si>
  <si>
    <t>048-18-000042</t>
  </si>
  <si>
    <t xml:space="preserve">Providing and Laying GI Pipe line to Existing Borewells in Ward No.48. </t>
  </si>
  <si>
    <t>Hariharesh D Halli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</si>
</sst>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tabSelected="1" topLeftCell="A34" workbookViewId="0">
      <selection activeCell="A2" sqref="A2:XFD36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4" max="4" width="8.08984375" bestFit="1" customWidth="1"/>
    <col min="5" max="5" width="15.906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1688</v>
      </c>
      <c r="B2" s="6" t="s">
        <v>28</v>
      </c>
      <c r="C2" s="7">
        <v>43566</v>
      </c>
      <c r="D2" s="8">
        <v>48</v>
      </c>
      <c r="E2" s="9" t="s">
        <v>42</v>
      </c>
      <c r="F2" s="8" t="s">
        <v>43</v>
      </c>
      <c r="G2" s="9" t="s">
        <v>44</v>
      </c>
      <c r="H2" s="8" t="str">
        <f>"000001"</f>
        <v>000001</v>
      </c>
      <c r="I2" s="7">
        <v>43279</v>
      </c>
      <c r="J2" s="8" t="str">
        <f>"000049"</f>
        <v>000049</v>
      </c>
      <c r="K2" s="7">
        <v>43279</v>
      </c>
      <c r="L2" s="8" t="str">
        <f>"000068"</f>
        <v>000068</v>
      </c>
      <c r="M2" s="7">
        <v>43280</v>
      </c>
      <c r="N2" s="8">
        <v>14</v>
      </c>
      <c r="O2" s="8" t="str">
        <f>"000184"</f>
        <v>000184</v>
      </c>
      <c r="P2" s="7">
        <v>43563</v>
      </c>
      <c r="Q2" s="10">
        <v>4.8973300000000002</v>
      </c>
      <c r="R2" s="10">
        <v>0.43109999999999998</v>
      </c>
      <c r="S2" s="10">
        <v>4.4662300000000004</v>
      </c>
      <c r="T2" s="8">
        <v>11</v>
      </c>
      <c r="U2" s="7">
        <v>43566</v>
      </c>
      <c r="V2" s="8">
        <v>9901999507</v>
      </c>
      <c r="W2" s="9" t="s">
        <v>45</v>
      </c>
      <c r="X2" s="8" t="s">
        <v>35</v>
      </c>
      <c r="Y2" s="9" t="s">
        <v>36</v>
      </c>
      <c r="Z2" s="8" t="s">
        <v>46</v>
      </c>
      <c r="AA2" s="9" t="s">
        <v>47</v>
      </c>
      <c r="AB2" s="10">
        <f t="shared" ref="AB2:AB12" si="0">Q2/100</f>
        <v>4.8973300000000004E-2</v>
      </c>
    </row>
    <row r="3" spans="1:28" s="4" customFormat="1" ht="13" x14ac:dyDescent="0.3">
      <c r="A3" s="5">
        <v>1689</v>
      </c>
      <c r="B3" s="6" t="s">
        <v>28</v>
      </c>
      <c r="C3" s="7">
        <v>43578</v>
      </c>
      <c r="D3" s="8">
        <v>48</v>
      </c>
      <c r="E3" s="9" t="s">
        <v>42</v>
      </c>
      <c r="F3" s="8" t="s">
        <v>48</v>
      </c>
      <c r="G3" s="9" t="s">
        <v>49</v>
      </c>
      <c r="H3" s="8" t="str">
        <f>"000143"</f>
        <v>000143</v>
      </c>
      <c r="I3" s="7">
        <v>43383</v>
      </c>
      <c r="J3" s="8" t="str">
        <f>"000192"</f>
        <v>000192</v>
      </c>
      <c r="K3" s="7">
        <v>43519</v>
      </c>
      <c r="L3" s="8" t="str">
        <f>"000346"</f>
        <v>000346</v>
      </c>
      <c r="M3" s="7">
        <v>43524</v>
      </c>
      <c r="N3" s="8">
        <v>18</v>
      </c>
      <c r="O3" s="8" t="str">
        <f>"000709"</f>
        <v>000709</v>
      </c>
      <c r="P3" s="7">
        <v>43577</v>
      </c>
      <c r="Q3" s="10">
        <v>4.9429999999999996</v>
      </c>
      <c r="R3" s="10">
        <v>0.54025999999999996</v>
      </c>
      <c r="S3" s="10">
        <v>4.4027399999999997</v>
      </c>
      <c r="T3" s="8">
        <v>24</v>
      </c>
      <c r="U3" s="7">
        <v>43578</v>
      </c>
      <c r="V3" s="8">
        <v>9902246126</v>
      </c>
      <c r="W3" s="9" t="s">
        <v>41</v>
      </c>
      <c r="X3" s="8" t="s">
        <v>50</v>
      </c>
      <c r="Y3" s="9" t="s">
        <v>51</v>
      </c>
      <c r="Z3" s="8" t="s">
        <v>46</v>
      </c>
      <c r="AA3" s="9" t="s">
        <v>47</v>
      </c>
      <c r="AB3" s="10">
        <f t="shared" si="0"/>
        <v>4.9429999999999995E-2</v>
      </c>
    </row>
    <row r="4" spans="1:28" s="4" customFormat="1" ht="13" x14ac:dyDescent="0.3">
      <c r="A4" s="5">
        <v>1690</v>
      </c>
      <c r="B4" s="6" t="s">
        <v>28</v>
      </c>
      <c r="C4" s="7">
        <v>43578</v>
      </c>
      <c r="D4" s="8">
        <v>48</v>
      </c>
      <c r="E4" s="9" t="s">
        <v>42</v>
      </c>
      <c r="F4" s="8" t="s">
        <v>52</v>
      </c>
      <c r="G4" s="9" t="s">
        <v>53</v>
      </c>
      <c r="H4" s="8" t="str">
        <f>"000139"</f>
        <v>000139</v>
      </c>
      <c r="I4" s="7">
        <v>43383</v>
      </c>
      <c r="J4" s="8" t="str">
        <f>"000188"</f>
        <v>000188</v>
      </c>
      <c r="K4" s="7">
        <v>43518</v>
      </c>
      <c r="L4" s="8" t="str">
        <f>"000344"</f>
        <v>000344</v>
      </c>
      <c r="M4" s="7">
        <v>43524</v>
      </c>
      <c r="N4" s="8">
        <v>18</v>
      </c>
      <c r="O4" s="8" t="str">
        <f>"000710"</f>
        <v>000710</v>
      </c>
      <c r="P4" s="7">
        <v>43577</v>
      </c>
      <c r="Q4" s="10">
        <v>14.688000000000001</v>
      </c>
      <c r="R4" s="10">
        <v>1.7172799999999999</v>
      </c>
      <c r="S4" s="10">
        <v>12.97072</v>
      </c>
      <c r="T4" s="8">
        <v>24</v>
      </c>
      <c r="U4" s="7">
        <v>43578</v>
      </c>
      <c r="V4" s="8">
        <v>9902246126</v>
      </c>
      <c r="W4" s="9" t="s">
        <v>41</v>
      </c>
      <c r="X4" s="8" t="s">
        <v>39</v>
      </c>
      <c r="Y4" s="9" t="s">
        <v>40</v>
      </c>
      <c r="Z4" s="8" t="s">
        <v>46</v>
      </c>
      <c r="AA4" s="9" t="s">
        <v>47</v>
      </c>
      <c r="AB4" s="10">
        <f t="shared" si="0"/>
        <v>0.14688000000000001</v>
      </c>
    </row>
    <row r="5" spans="1:28" s="4" customFormat="1" ht="13" x14ac:dyDescent="0.3">
      <c r="A5" s="5">
        <v>1691</v>
      </c>
      <c r="B5" s="6" t="s">
        <v>32</v>
      </c>
      <c r="C5" s="7">
        <v>43591</v>
      </c>
      <c r="D5" s="8">
        <v>48</v>
      </c>
      <c r="E5" s="9" t="s">
        <v>42</v>
      </c>
      <c r="F5" s="8" t="s">
        <v>75</v>
      </c>
      <c r="G5" s="9" t="s">
        <v>76</v>
      </c>
      <c r="H5" s="8" t="str">
        <f>"000138"</f>
        <v>000138</v>
      </c>
      <c r="I5" s="7">
        <v>43383</v>
      </c>
      <c r="J5" s="8" t="str">
        <f>"000191"</f>
        <v>000191</v>
      </c>
      <c r="K5" s="7">
        <v>43519</v>
      </c>
      <c r="L5" s="8" t="str">
        <f>"000345"</f>
        <v>000345</v>
      </c>
      <c r="M5" s="7">
        <v>43524</v>
      </c>
      <c r="N5" s="8">
        <v>18</v>
      </c>
      <c r="O5" s="8" t="str">
        <f>"001093"</f>
        <v>001093</v>
      </c>
      <c r="P5" s="7">
        <v>43581</v>
      </c>
      <c r="Q5" s="10">
        <v>4.7530000000000001</v>
      </c>
      <c r="R5" s="10">
        <v>0.50788</v>
      </c>
      <c r="S5" s="10">
        <v>4.24512</v>
      </c>
      <c r="T5" s="8">
        <v>35</v>
      </c>
      <c r="U5" s="7">
        <v>43591</v>
      </c>
      <c r="V5" s="8">
        <v>9902246126</v>
      </c>
      <c r="W5" s="9" t="s">
        <v>41</v>
      </c>
      <c r="X5" s="8" t="s">
        <v>77</v>
      </c>
      <c r="Y5" s="9" t="s">
        <v>78</v>
      </c>
      <c r="Z5" s="8" t="s">
        <v>46</v>
      </c>
      <c r="AA5" s="9" t="s">
        <v>47</v>
      </c>
      <c r="AB5" s="10">
        <f t="shared" si="0"/>
        <v>4.7530000000000003E-2</v>
      </c>
    </row>
    <row r="6" spans="1:28" s="4" customFormat="1" ht="13" x14ac:dyDescent="0.3">
      <c r="A6" s="5">
        <v>1692</v>
      </c>
      <c r="B6" s="6" t="s">
        <v>32</v>
      </c>
      <c r="C6" s="7">
        <v>43591</v>
      </c>
      <c r="D6" s="8">
        <v>48</v>
      </c>
      <c r="E6" s="9" t="s">
        <v>42</v>
      </c>
      <c r="F6" s="8" t="s">
        <v>79</v>
      </c>
      <c r="G6" s="9" t="s">
        <v>80</v>
      </c>
      <c r="H6" s="8" t="str">
        <f>"000140"</f>
        <v>000140</v>
      </c>
      <c r="I6" s="7">
        <v>43383</v>
      </c>
      <c r="J6" s="8" t="str">
        <f>"000189"</f>
        <v>000189</v>
      </c>
      <c r="K6" s="7">
        <v>43518</v>
      </c>
      <c r="L6" s="8" t="str">
        <f>"000341"</f>
        <v>000341</v>
      </c>
      <c r="M6" s="7">
        <v>43524</v>
      </c>
      <c r="N6" s="8">
        <v>18</v>
      </c>
      <c r="O6" s="8" t="str">
        <f>"001101"</f>
        <v>001101</v>
      </c>
      <c r="P6" s="7">
        <v>43581</v>
      </c>
      <c r="Q6" s="10">
        <v>19.695</v>
      </c>
      <c r="R6" s="10">
        <v>2.1717</v>
      </c>
      <c r="S6" s="10">
        <v>17.523299999999999</v>
      </c>
      <c r="T6" s="8">
        <v>35</v>
      </c>
      <c r="U6" s="7">
        <v>43591</v>
      </c>
      <c r="V6" s="8">
        <v>9902246126</v>
      </c>
      <c r="W6" s="9" t="s">
        <v>41</v>
      </c>
      <c r="X6" s="8" t="s">
        <v>81</v>
      </c>
      <c r="Y6" s="9" t="s">
        <v>82</v>
      </c>
      <c r="Z6" s="8" t="s">
        <v>46</v>
      </c>
      <c r="AA6" s="9" t="s">
        <v>47</v>
      </c>
      <c r="AB6" s="10">
        <f t="shared" si="0"/>
        <v>0.19695000000000001</v>
      </c>
    </row>
    <row r="7" spans="1:28" s="4" customFormat="1" ht="13" x14ac:dyDescent="0.3">
      <c r="A7" s="5">
        <v>1693</v>
      </c>
      <c r="B7" s="6" t="s">
        <v>32</v>
      </c>
      <c r="C7" s="7">
        <v>43591</v>
      </c>
      <c r="D7" s="8">
        <v>48</v>
      </c>
      <c r="E7" s="9" t="s">
        <v>42</v>
      </c>
      <c r="F7" s="8" t="s">
        <v>83</v>
      </c>
      <c r="G7" s="9" t="s">
        <v>84</v>
      </c>
      <c r="H7" s="8" t="str">
        <f>"000142"</f>
        <v>000142</v>
      </c>
      <c r="I7" s="7">
        <v>43383</v>
      </c>
      <c r="J7" s="8" t="str">
        <f>"000197"</f>
        <v>000197</v>
      </c>
      <c r="K7" s="7">
        <v>43525</v>
      </c>
      <c r="L7" s="8" t="str">
        <f>"000359"</f>
        <v>000359</v>
      </c>
      <c r="M7" s="7">
        <v>43532</v>
      </c>
      <c r="N7" s="8">
        <v>18</v>
      </c>
      <c r="O7" s="8" t="str">
        <f>"001104"</f>
        <v>001104</v>
      </c>
      <c r="P7" s="7">
        <v>43581</v>
      </c>
      <c r="Q7" s="10">
        <v>9.9253900000000002</v>
      </c>
      <c r="R7" s="10">
        <v>1.06524</v>
      </c>
      <c r="S7" s="10">
        <v>8.8601500000000009</v>
      </c>
      <c r="T7" s="8">
        <v>35</v>
      </c>
      <c r="U7" s="7">
        <v>43591</v>
      </c>
      <c r="V7" s="8">
        <v>9902246126</v>
      </c>
      <c r="W7" s="9" t="s">
        <v>41</v>
      </c>
      <c r="X7" s="8" t="s">
        <v>85</v>
      </c>
      <c r="Y7" s="9" t="s">
        <v>86</v>
      </c>
      <c r="Z7" s="8" t="s">
        <v>46</v>
      </c>
      <c r="AA7" s="9" t="s">
        <v>47</v>
      </c>
      <c r="AB7" s="10">
        <f t="shared" si="0"/>
        <v>9.9253900000000006E-2</v>
      </c>
    </row>
    <row r="8" spans="1:28" s="4" customFormat="1" ht="13" x14ac:dyDescent="0.3">
      <c r="A8" s="5">
        <v>1694</v>
      </c>
      <c r="B8" s="6" t="s">
        <v>32</v>
      </c>
      <c r="C8" s="7">
        <v>43591</v>
      </c>
      <c r="D8" s="8">
        <v>48</v>
      </c>
      <c r="E8" s="9" t="s">
        <v>42</v>
      </c>
      <c r="F8" s="8" t="s">
        <v>87</v>
      </c>
      <c r="G8" s="9" t="s">
        <v>88</v>
      </c>
      <c r="H8" s="8" t="str">
        <f>"000070"</f>
        <v>000070</v>
      </c>
      <c r="I8" s="7">
        <v>42901</v>
      </c>
      <c r="J8" s="8" t="str">
        <f>"000113"</f>
        <v>000113</v>
      </c>
      <c r="K8" s="7">
        <v>43398</v>
      </c>
      <c r="L8" s="8" t="str">
        <f>"000181"</f>
        <v>000181</v>
      </c>
      <c r="M8" s="7">
        <v>43399</v>
      </c>
      <c r="N8" s="8">
        <v>17</v>
      </c>
      <c r="O8" s="8" t="str">
        <f>"001250"</f>
        <v>001250</v>
      </c>
      <c r="P8" s="7">
        <v>43587</v>
      </c>
      <c r="Q8" s="10">
        <v>28.69689</v>
      </c>
      <c r="R8" s="10">
        <v>2.7446100000000002</v>
      </c>
      <c r="S8" s="10">
        <v>25.952279999999998</v>
      </c>
      <c r="T8" s="8">
        <v>39</v>
      </c>
      <c r="U8" s="7">
        <v>43591</v>
      </c>
      <c r="V8" s="8">
        <v>9663307141</v>
      </c>
      <c r="W8" s="9" t="s">
        <v>89</v>
      </c>
      <c r="X8" s="8" t="s">
        <v>90</v>
      </c>
      <c r="Y8" s="9" t="s">
        <v>91</v>
      </c>
      <c r="Z8" s="8" t="s">
        <v>46</v>
      </c>
      <c r="AA8" s="9" t="s">
        <v>47</v>
      </c>
      <c r="AB8" s="10">
        <f t="shared" si="0"/>
        <v>0.28696889999999997</v>
      </c>
    </row>
    <row r="9" spans="1:28" s="4" customFormat="1" ht="13" x14ac:dyDescent="0.3">
      <c r="A9" s="5">
        <v>1695</v>
      </c>
      <c r="B9" s="6" t="s">
        <v>32</v>
      </c>
      <c r="C9" s="7">
        <v>43609</v>
      </c>
      <c r="D9" s="8">
        <v>48</v>
      </c>
      <c r="E9" s="9" t="s">
        <v>42</v>
      </c>
      <c r="F9" s="8" t="s">
        <v>92</v>
      </c>
      <c r="G9" s="9" t="s">
        <v>93</v>
      </c>
      <c r="H9" s="8" t="str">
        <f>"000047"</f>
        <v>000047</v>
      </c>
      <c r="I9" s="7">
        <v>42860</v>
      </c>
      <c r="J9" s="8" t="str">
        <f>"000011"</f>
        <v>000011</v>
      </c>
      <c r="K9" s="7">
        <v>43005</v>
      </c>
      <c r="L9" s="8" t="str">
        <f>"000028"</f>
        <v>000028</v>
      </c>
      <c r="M9" s="7">
        <v>43012</v>
      </c>
      <c r="N9" s="8">
        <v>17</v>
      </c>
      <c r="O9" s="8" t="str">
        <f>"001893"</f>
        <v>001893</v>
      </c>
      <c r="P9" s="7">
        <v>43607</v>
      </c>
      <c r="Q9" s="10">
        <v>18.68816</v>
      </c>
      <c r="R9" s="10">
        <v>0.77129999999999999</v>
      </c>
      <c r="S9" s="10">
        <v>17.91686</v>
      </c>
      <c r="T9" s="8">
        <v>57</v>
      </c>
      <c r="U9" s="7">
        <v>43609</v>
      </c>
      <c r="V9" s="8">
        <v>9900083697</v>
      </c>
      <c r="W9" s="9" t="s">
        <v>94</v>
      </c>
      <c r="X9" s="8" t="s">
        <v>30</v>
      </c>
      <c r="Y9" s="9" t="s">
        <v>31</v>
      </c>
      <c r="Z9" s="8" t="s">
        <v>46</v>
      </c>
      <c r="AA9" s="9" t="s">
        <v>47</v>
      </c>
      <c r="AB9" s="10">
        <f t="shared" si="0"/>
        <v>0.18688160000000001</v>
      </c>
    </row>
    <row r="10" spans="1:28" s="4" customFormat="1" ht="13" x14ac:dyDescent="0.3">
      <c r="A10" s="5">
        <v>1696</v>
      </c>
      <c r="B10" s="6" t="s">
        <v>32</v>
      </c>
      <c r="C10" s="7">
        <v>43609</v>
      </c>
      <c r="D10" s="8">
        <v>48</v>
      </c>
      <c r="E10" s="9" t="s">
        <v>42</v>
      </c>
      <c r="F10" s="8" t="s">
        <v>95</v>
      </c>
      <c r="G10" s="9" t="s">
        <v>96</v>
      </c>
      <c r="H10" s="8" t="str">
        <f>"000050"</f>
        <v>000050</v>
      </c>
      <c r="I10" s="7">
        <v>42860</v>
      </c>
      <c r="J10" s="8" t="str">
        <f>"000014"</f>
        <v>000014</v>
      </c>
      <c r="K10" s="7">
        <v>43005</v>
      </c>
      <c r="L10" s="8" t="str">
        <f>"000029"</f>
        <v>000029</v>
      </c>
      <c r="M10" s="7">
        <v>43012</v>
      </c>
      <c r="N10" s="8">
        <v>17</v>
      </c>
      <c r="O10" s="8" t="str">
        <f>"001894"</f>
        <v>001894</v>
      </c>
      <c r="P10" s="7">
        <v>43607</v>
      </c>
      <c r="Q10" s="10">
        <v>18.89997</v>
      </c>
      <c r="R10" s="10">
        <v>0.94289999999999996</v>
      </c>
      <c r="S10" s="10">
        <v>17.957070000000002</v>
      </c>
      <c r="T10" s="8">
        <v>57</v>
      </c>
      <c r="U10" s="7">
        <v>43609</v>
      </c>
      <c r="V10" s="8">
        <v>9900083697</v>
      </c>
      <c r="W10" s="9" t="s">
        <v>94</v>
      </c>
      <c r="X10" s="8" t="s">
        <v>30</v>
      </c>
      <c r="Y10" s="9" t="s">
        <v>31</v>
      </c>
      <c r="Z10" s="8" t="s">
        <v>46</v>
      </c>
      <c r="AA10" s="9" t="s">
        <v>47</v>
      </c>
      <c r="AB10" s="10">
        <f t="shared" si="0"/>
        <v>0.18899969999999999</v>
      </c>
    </row>
    <row r="11" spans="1:28" s="4" customFormat="1" ht="13" x14ac:dyDescent="0.3">
      <c r="A11" s="5">
        <v>1697</v>
      </c>
      <c r="B11" s="6" t="s">
        <v>32</v>
      </c>
      <c r="C11" s="7">
        <v>43609</v>
      </c>
      <c r="D11" s="8">
        <v>48</v>
      </c>
      <c r="E11" s="9" t="s">
        <v>42</v>
      </c>
      <c r="F11" s="8" t="s">
        <v>97</v>
      </c>
      <c r="G11" s="9" t="s">
        <v>98</v>
      </c>
      <c r="H11" s="8" t="str">
        <f>"000049"</f>
        <v>000049</v>
      </c>
      <c r="I11" s="7">
        <v>42860</v>
      </c>
      <c r="J11" s="8" t="str">
        <f>"000013"</f>
        <v>000013</v>
      </c>
      <c r="K11" s="7">
        <v>43005</v>
      </c>
      <c r="L11" s="8" t="str">
        <f>"000030"</f>
        <v>000030</v>
      </c>
      <c r="M11" s="7">
        <v>43012</v>
      </c>
      <c r="N11" s="8">
        <v>17</v>
      </c>
      <c r="O11" s="8" t="str">
        <f>"001895"</f>
        <v>001895</v>
      </c>
      <c r="P11" s="7">
        <v>43607</v>
      </c>
      <c r="Q11" s="10">
        <v>19.147780000000001</v>
      </c>
      <c r="R11" s="10">
        <v>0.79015000000000002</v>
      </c>
      <c r="S11" s="10">
        <v>18.35763</v>
      </c>
      <c r="T11" s="8">
        <v>57</v>
      </c>
      <c r="U11" s="7">
        <v>43609</v>
      </c>
      <c r="V11" s="8">
        <v>9900083697</v>
      </c>
      <c r="W11" s="9" t="s">
        <v>94</v>
      </c>
      <c r="X11" s="8" t="s">
        <v>30</v>
      </c>
      <c r="Y11" s="9" t="s">
        <v>31</v>
      </c>
      <c r="Z11" s="8" t="s">
        <v>46</v>
      </c>
      <c r="AA11" s="9" t="s">
        <v>47</v>
      </c>
      <c r="AB11" s="10">
        <f t="shared" si="0"/>
        <v>0.1914778</v>
      </c>
    </row>
    <row r="12" spans="1:28" s="4" customFormat="1" ht="13" x14ac:dyDescent="0.3">
      <c r="A12" s="5">
        <v>1698</v>
      </c>
      <c r="B12" s="6" t="s">
        <v>32</v>
      </c>
      <c r="C12" s="7">
        <v>43609</v>
      </c>
      <c r="D12" s="8">
        <v>48</v>
      </c>
      <c r="E12" s="9" t="s">
        <v>42</v>
      </c>
      <c r="F12" s="8" t="s">
        <v>99</v>
      </c>
      <c r="G12" s="9" t="s">
        <v>100</v>
      </c>
      <c r="H12" s="8" t="str">
        <f>"000048"</f>
        <v>000048</v>
      </c>
      <c r="I12" s="7">
        <v>42860</v>
      </c>
      <c r="J12" s="8" t="str">
        <f>"000012"</f>
        <v>000012</v>
      </c>
      <c r="K12" s="7">
        <v>43005</v>
      </c>
      <c r="L12" s="8" t="str">
        <f>"000031"</f>
        <v>000031</v>
      </c>
      <c r="M12" s="7">
        <v>43012</v>
      </c>
      <c r="N12" s="8">
        <v>17</v>
      </c>
      <c r="O12" s="8" t="str">
        <f>"001896"</f>
        <v>001896</v>
      </c>
      <c r="P12" s="7">
        <v>43607</v>
      </c>
      <c r="Q12" s="10">
        <v>18.841760000000001</v>
      </c>
      <c r="R12" s="10">
        <v>0.77785000000000004</v>
      </c>
      <c r="S12" s="10">
        <v>18.06391</v>
      </c>
      <c r="T12" s="8">
        <v>57</v>
      </c>
      <c r="U12" s="7">
        <v>43609</v>
      </c>
      <c r="V12" s="8">
        <v>9900083697</v>
      </c>
      <c r="W12" s="9" t="s">
        <v>94</v>
      </c>
      <c r="X12" s="8" t="s">
        <v>30</v>
      </c>
      <c r="Y12" s="9" t="s">
        <v>31</v>
      </c>
      <c r="Z12" s="8" t="s">
        <v>46</v>
      </c>
      <c r="AA12" s="9" t="s">
        <v>47</v>
      </c>
      <c r="AB12" s="10">
        <f t="shared" si="0"/>
        <v>0.18841760000000002</v>
      </c>
    </row>
    <row r="13" spans="1:28" s="4" customFormat="1" ht="13" x14ac:dyDescent="0.3">
      <c r="A13" s="5">
        <v>1699</v>
      </c>
      <c r="B13" s="6" t="s">
        <v>29</v>
      </c>
      <c r="C13" s="7">
        <v>43622</v>
      </c>
      <c r="D13" s="8">
        <v>48</v>
      </c>
      <c r="E13" s="9" t="s">
        <v>42</v>
      </c>
      <c r="F13" s="8" t="s">
        <v>54</v>
      </c>
      <c r="G13" s="9" t="s">
        <v>55</v>
      </c>
      <c r="H13" s="8" t="str">
        <f>"000246"</f>
        <v>000246</v>
      </c>
      <c r="I13" s="7">
        <v>43433</v>
      </c>
      <c r="J13" s="8" t="str">
        <f>"000177"</f>
        <v>000177</v>
      </c>
      <c r="K13" s="7">
        <v>43500</v>
      </c>
      <c r="L13" s="8" t="str">
        <f>"000320"</f>
        <v>000320</v>
      </c>
      <c r="M13" s="7">
        <v>43502</v>
      </c>
      <c r="N13" s="8">
        <v>18</v>
      </c>
      <c r="O13" s="8" t="str">
        <f>"002278"</f>
        <v>002278</v>
      </c>
      <c r="P13" s="7">
        <v>43615</v>
      </c>
      <c r="Q13" s="10">
        <v>19.821999999999999</v>
      </c>
      <c r="R13" s="10">
        <v>2.4359600000000001</v>
      </c>
      <c r="S13" s="10">
        <v>17.386040000000001</v>
      </c>
      <c r="T13" s="8">
        <v>70</v>
      </c>
      <c r="U13" s="7">
        <v>43622</v>
      </c>
      <c r="V13" s="8">
        <v>9902246126</v>
      </c>
      <c r="W13" s="9" t="s">
        <v>41</v>
      </c>
      <c r="X13" s="8" t="s">
        <v>37</v>
      </c>
      <c r="Y13" s="9" t="s">
        <v>38</v>
      </c>
      <c r="Z13" s="8" t="s">
        <v>46</v>
      </c>
      <c r="AA13" s="9" t="s">
        <v>47</v>
      </c>
      <c r="AB13" s="10">
        <v>0.19821999999999998</v>
      </c>
    </row>
    <row r="14" spans="1:28" s="4" customFormat="1" ht="13" x14ac:dyDescent="0.3">
      <c r="A14" s="5">
        <v>1700</v>
      </c>
      <c r="B14" s="6" t="s">
        <v>29</v>
      </c>
      <c r="C14" s="7">
        <v>43622</v>
      </c>
      <c r="D14" s="8">
        <v>48</v>
      </c>
      <c r="E14" s="9" t="s">
        <v>42</v>
      </c>
      <c r="F14" s="8" t="s">
        <v>56</v>
      </c>
      <c r="G14" s="9" t="s">
        <v>57</v>
      </c>
      <c r="H14" s="8" t="str">
        <f>"000245"</f>
        <v>000245</v>
      </c>
      <c r="I14" s="7">
        <v>43433</v>
      </c>
      <c r="J14" s="8" t="str">
        <f>"000178"</f>
        <v>000178</v>
      </c>
      <c r="K14" s="7">
        <v>43500</v>
      </c>
      <c r="L14" s="8" t="str">
        <f>"000323"</f>
        <v>000323</v>
      </c>
      <c r="M14" s="7">
        <v>43502</v>
      </c>
      <c r="N14" s="8">
        <v>18</v>
      </c>
      <c r="O14" s="8" t="str">
        <f>"002279"</f>
        <v>002279</v>
      </c>
      <c r="P14" s="7">
        <v>43615</v>
      </c>
      <c r="Q14" s="10">
        <v>19.826000000000001</v>
      </c>
      <c r="R14" s="10">
        <v>2.4360400000000002</v>
      </c>
      <c r="S14" s="10">
        <v>17.389959999999999</v>
      </c>
      <c r="T14" s="8">
        <v>70</v>
      </c>
      <c r="U14" s="7">
        <v>43622</v>
      </c>
      <c r="V14" s="8">
        <v>9902246126</v>
      </c>
      <c r="W14" s="9" t="s">
        <v>41</v>
      </c>
      <c r="X14" s="8" t="s">
        <v>37</v>
      </c>
      <c r="Y14" s="9" t="s">
        <v>38</v>
      </c>
      <c r="Z14" s="8" t="s">
        <v>46</v>
      </c>
      <c r="AA14" s="9" t="s">
        <v>47</v>
      </c>
      <c r="AB14" s="10">
        <v>0.19825999999999999</v>
      </c>
    </row>
    <row r="15" spans="1:28" s="4" customFormat="1" ht="13" x14ac:dyDescent="0.3">
      <c r="A15" s="5">
        <v>1701</v>
      </c>
      <c r="B15" s="6" t="s">
        <v>29</v>
      </c>
      <c r="C15" s="7">
        <v>43622</v>
      </c>
      <c r="D15" s="8">
        <v>48</v>
      </c>
      <c r="E15" s="9" t="s">
        <v>42</v>
      </c>
      <c r="F15" s="8" t="s">
        <v>58</v>
      </c>
      <c r="G15" s="9" t="s">
        <v>59</v>
      </c>
      <c r="H15" s="8" t="str">
        <f>"000244"</f>
        <v>000244</v>
      </c>
      <c r="I15" s="7">
        <v>43433</v>
      </c>
      <c r="J15" s="8" t="str">
        <f>"000179"</f>
        <v>000179</v>
      </c>
      <c r="K15" s="7">
        <v>43500</v>
      </c>
      <c r="L15" s="8" t="str">
        <f>"000322"</f>
        <v>000322</v>
      </c>
      <c r="M15" s="7">
        <v>43502</v>
      </c>
      <c r="N15" s="8">
        <v>18</v>
      </c>
      <c r="O15" s="8" t="str">
        <f>"002280"</f>
        <v>002280</v>
      </c>
      <c r="P15" s="7">
        <v>43615</v>
      </c>
      <c r="Q15" s="10">
        <v>19.489999999999998</v>
      </c>
      <c r="R15" s="10">
        <v>2.4080400000000002</v>
      </c>
      <c r="S15" s="10">
        <v>17.081959999999999</v>
      </c>
      <c r="T15" s="8">
        <v>70</v>
      </c>
      <c r="U15" s="7">
        <v>43622</v>
      </c>
      <c r="V15" s="8">
        <v>9902246126</v>
      </c>
      <c r="W15" s="9" t="s">
        <v>41</v>
      </c>
      <c r="X15" s="8" t="s">
        <v>37</v>
      </c>
      <c r="Y15" s="9" t="s">
        <v>38</v>
      </c>
      <c r="Z15" s="8" t="s">
        <v>46</v>
      </c>
      <c r="AA15" s="9" t="s">
        <v>47</v>
      </c>
      <c r="AB15" s="10">
        <v>0.19489999999999999</v>
      </c>
    </row>
    <row r="16" spans="1:28" s="4" customFormat="1" ht="13" x14ac:dyDescent="0.3">
      <c r="A16" s="5">
        <v>1702</v>
      </c>
      <c r="B16" s="6" t="s">
        <v>29</v>
      </c>
      <c r="C16" s="7">
        <v>43622</v>
      </c>
      <c r="D16" s="8">
        <v>48</v>
      </c>
      <c r="E16" s="9" t="s">
        <v>42</v>
      </c>
      <c r="F16" s="8" t="s">
        <v>60</v>
      </c>
      <c r="G16" s="9" t="s">
        <v>61</v>
      </c>
      <c r="H16" s="8" t="str">
        <f>"000243"</f>
        <v>000243</v>
      </c>
      <c r="I16" s="7">
        <v>43433</v>
      </c>
      <c r="J16" s="8" t="str">
        <f>"000180"</f>
        <v>000180</v>
      </c>
      <c r="K16" s="7">
        <v>43500</v>
      </c>
      <c r="L16" s="8" t="str">
        <f>"000321"</f>
        <v>000321</v>
      </c>
      <c r="M16" s="7">
        <v>43502</v>
      </c>
      <c r="N16" s="8">
        <v>18</v>
      </c>
      <c r="O16" s="8" t="str">
        <f>"002281"</f>
        <v>002281</v>
      </c>
      <c r="P16" s="7">
        <v>43615</v>
      </c>
      <c r="Q16" s="10">
        <v>19.440000000000001</v>
      </c>
      <c r="R16" s="10">
        <v>2.4371399999999999</v>
      </c>
      <c r="S16" s="10">
        <v>17.002859999999998</v>
      </c>
      <c r="T16" s="8">
        <v>70</v>
      </c>
      <c r="U16" s="7">
        <v>43622</v>
      </c>
      <c r="V16" s="8">
        <v>9902246126</v>
      </c>
      <c r="W16" s="9" t="s">
        <v>41</v>
      </c>
      <c r="X16" s="8" t="s">
        <v>37</v>
      </c>
      <c r="Y16" s="9" t="s">
        <v>38</v>
      </c>
      <c r="Z16" s="8" t="s">
        <v>46</v>
      </c>
      <c r="AA16" s="9" t="s">
        <v>47</v>
      </c>
      <c r="AB16" s="10">
        <v>0.19440000000000002</v>
      </c>
    </row>
    <row r="17" spans="1:28" s="4" customFormat="1" ht="13" x14ac:dyDescent="0.3">
      <c r="A17" s="5">
        <v>1703</v>
      </c>
      <c r="B17" s="6" t="s">
        <v>29</v>
      </c>
      <c r="C17" s="7">
        <v>43628</v>
      </c>
      <c r="D17" s="8">
        <v>48</v>
      </c>
      <c r="E17" s="9" t="s">
        <v>42</v>
      </c>
      <c r="F17" s="8" t="s">
        <v>62</v>
      </c>
      <c r="G17" s="9" t="s">
        <v>63</v>
      </c>
      <c r="H17" s="8" t="str">
        <f>"000032"</f>
        <v>000032</v>
      </c>
      <c r="I17" s="7">
        <v>42849</v>
      </c>
      <c r="J17" s="8" t="str">
        <f>"000031"</f>
        <v>000031</v>
      </c>
      <c r="K17" s="7">
        <v>43088</v>
      </c>
      <c r="L17" s="8" t="str">
        <f>"000061"</f>
        <v>000061</v>
      </c>
      <c r="M17" s="7">
        <v>43089</v>
      </c>
      <c r="N17" s="8">
        <v>17</v>
      </c>
      <c r="O17" s="8" t="str">
        <f>"002567"</f>
        <v>002567</v>
      </c>
      <c r="P17" s="7">
        <v>43627</v>
      </c>
      <c r="Q17" s="10">
        <v>18.61</v>
      </c>
      <c r="R17" s="10">
        <v>0.90686</v>
      </c>
      <c r="S17" s="10">
        <v>17.703140000000001</v>
      </c>
      <c r="T17" s="8">
        <v>76</v>
      </c>
      <c r="U17" s="7">
        <v>43628</v>
      </c>
      <c r="V17" s="8">
        <v>9035660123</v>
      </c>
      <c r="W17" s="9" t="s">
        <v>64</v>
      </c>
      <c r="X17" s="8" t="s">
        <v>30</v>
      </c>
      <c r="Y17" s="9" t="s">
        <v>31</v>
      </c>
      <c r="Z17" s="8" t="s">
        <v>46</v>
      </c>
      <c r="AA17" s="9" t="s">
        <v>47</v>
      </c>
      <c r="AB17" s="10">
        <v>0.18609999999999999</v>
      </c>
    </row>
    <row r="18" spans="1:28" s="4" customFormat="1" ht="13" x14ac:dyDescent="0.3">
      <c r="A18" s="5">
        <v>1704</v>
      </c>
      <c r="B18" s="6" t="s">
        <v>29</v>
      </c>
      <c r="C18" s="7">
        <v>43628</v>
      </c>
      <c r="D18" s="8">
        <v>48</v>
      </c>
      <c r="E18" s="9" t="s">
        <v>42</v>
      </c>
      <c r="F18" s="8" t="s">
        <v>65</v>
      </c>
      <c r="G18" s="9" t="s">
        <v>66</v>
      </c>
      <c r="H18" s="8" t="str">
        <f>"000031"</f>
        <v>000031</v>
      </c>
      <c r="I18" s="7">
        <v>42849</v>
      </c>
      <c r="J18" s="8" t="str">
        <f>"000030"</f>
        <v>000030</v>
      </c>
      <c r="K18" s="7">
        <v>43088</v>
      </c>
      <c r="L18" s="8" t="str">
        <f>"000060"</f>
        <v>000060</v>
      </c>
      <c r="M18" s="7">
        <v>43089</v>
      </c>
      <c r="N18" s="8">
        <v>17</v>
      </c>
      <c r="O18" s="8" t="str">
        <f>"002599"</f>
        <v>002599</v>
      </c>
      <c r="P18" s="7">
        <v>43627</v>
      </c>
      <c r="Q18" s="10">
        <v>9.5874000000000006</v>
      </c>
      <c r="R18" s="10">
        <v>0.65900999999999998</v>
      </c>
      <c r="S18" s="10">
        <v>8.9283900000000003</v>
      </c>
      <c r="T18" s="8">
        <v>76</v>
      </c>
      <c r="U18" s="7">
        <v>43628</v>
      </c>
      <c r="V18" s="8">
        <v>9035660123</v>
      </c>
      <c r="W18" s="9" t="s">
        <v>67</v>
      </c>
      <c r="X18" s="8" t="s">
        <v>30</v>
      </c>
      <c r="Y18" s="9" t="s">
        <v>31</v>
      </c>
      <c r="Z18" s="8" t="s">
        <v>46</v>
      </c>
      <c r="AA18" s="9" t="s">
        <v>47</v>
      </c>
      <c r="AB18" s="10">
        <v>9.5874000000000001E-2</v>
      </c>
    </row>
    <row r="19" spans="1:28" s="4" customFormat="1" ht="13" x14ac:dyDescent="0.3">
      <c r="A19" s="5">
        <v>1705</v>
      </c>
      <c r="B19" s="6" t="s">
        <v>29</v>
      </c>
      <c r="C19" s="7">
        <v>43628</v>
      </c>
      <c r="D19" s="8">
        <v>48</v>
      </c>
      <c r="E19" s="9" t="s">
        <v>42</v>
      </c>
      <c r="F19" s="8" t="s">
        <v>68</v>
      </c>
      <c r="G19" s="9" t="s">
        <v>69</v>
      </c>
      <c r="H19" s="8" t="str">
        <f>"000260"</f>
        <v>000260</v>
      </c>
      <c r="I19" s="7">
        <v>43452</v>
      </c>
      <c r="J19" s="8" t="str">
        <f>"000196"</f>
        <v>000196</v>
      </c>
      <c r="K19" s="7">
        <v>43525</v>
      </c>
      <c r="L19" s="8" t="str">
        <f>"000358"</f>
        <v>000358</v>
      </c>
      <c r="M19" s="7">
        <v>43532</v>
      </c>
      <c r="N19" s="8">
        <v>18</v>
      </c>
      <c r="O19" s="8" t="str">
        <f>"002359"</f>
        <v>002359</v>
      </c>
      <c r="P19" s="7">
        <v>43619</v>
      </c>
      <c r="Q19" s="10">
        <v>19.949739999999998</v>
      </c>
      <c r="R19" s="10">
        <v>2.3262399999999999</v>
      </c>
      <c r="S19" s="10">
        <v>17.6235</v>
      </c>
      <c r="T19" s="8">
        <v>77</v>
      </c>
      <c r="U19" s="7">
        <v>43628</v>
      </c>
      <c r="V19" s="8">
        <v>9341246488</v>
      </c>
      <c r="W19" s="9" t="s">
        <v>41</v>
      </c>
      <c r="X19" s="8" t="s">
        <v>37</v>
      </c>
      <c r="Y19" s="9" t="s">
        <v>38</v>
      </c>
      <c r="Z19" s="8" t="s">
        <v>46</v>
      </c>
      <c r="AA19" s="9" t="s">
        <v>47</v>
      </c>
      <c r="AB19" s="10">
        <v>0.19949739999999999</v>
      </c>
    </row>
    <row r="20" spans="1:28" s="4" customFormat="1" ht="13" x14ac:dyDescent="0.3">
      <c r="A20" s="5">
        <v>1706</v>
      </c>
      <c r="B20" s="6" t="s">
        <v>29</v>
      </c>
      <c r="C20" s="7">
        <v>43633</v>
      </c>
      <c r="D20" s="8">
        <v>48</v>
      </c>
      <c r="E20" s="9" t="s">
        <v>42</v>
      </c>
      <c r="F20" s="8" t="s">
        <v>70</v>
      </c>
      <c r="G20" s="9" t="s">
        <v>71</v>
      </c>
      <c r="H20" s="8" t="str">
        <f>"000009"</f>
        <v>000009</v>
      </c>
      <c r="I20" s="7">
        <v>43410</v>
      </c>
      <c r="J20" s="8" t="str">
        <f>"000040"</f>
        <v>000040</v>
      </c>
      <c r="K20" s="7">
        <v>43543</v>
      </c>
      <c r="L20" s="8" t="str">
        <f>""</f>
        <v/>
      </c>
      <c r="M20" s="7"/>
      <c r="N20" s="8">
        <v>18</v>
      </c>
      <c r="O20" s="8" t="str">
        <f>""</f>
        <v/>
      </c>
      <c r="P20" s="7"/>
      <c r="Q20" s="10">
        <v>13.82</v>
      </c>
      <c r="R20" s="10">
        <v>0.69244000000000006</v>
      </c>
      <c r="S20" s="10">
        <v>13.127560000000001</v>
      </c>
      <c r="T20" s="8">
        <v>87</v>
      </c>
      <c r="U20" s="7">
        <v>43633</v>
      </c>
      <c r="V20" s="8">
        <v>9036509517</v>
      </c>
      <c r="W20" s="9" t="s">
        <v>72</v>
      </c>
      <c r="X20" s="8" t="s">
        <v>33</v>
      </c>
      <c r="Y20" s="9" t="s">
        <v>34</v>
      </c>
      <c r="Z20" s="8" t="s">
        <v>73</v>
      </c>
      <c r="AA20" s="9" t="s">
        <v>74</v>
      </c>
      <c r="AB20" s="10">
        <v>0.13819999999999999</v>
      </c>
    </row>
    <row r="21" spans="1:28" s="4" customFormat="1" ht="13" x14ac:dyDescent="0.3">
      <c r="A21" s="5">
        <v>1707</v>
      </c>
      <c r="B21" s="6" t="s">
        <v>101</v>
      </c>
      <c r="C21" s="7">
        <v>43647</v>
      </c>
      <c r="D21" s="8">
        <v>48</v>
      </c>
      <c r="E21" s="9" t="s">
        <v>42</v>
      </c>
      <c r="F21" s="8" t="s">
        <v>102</v>
      </c>
      <c r="G21" s="11" t="s">
        <v>103</v>
      </c>
      <c r="H21" s="8" t="str">
        <f>"000083"</f>
        <v>000083</v>
      </c>
      <c r="I21" s="7">
        <v>43017</v>
      </c>
      <c r="J21" s="8" t="str">
        <f>"000066"</f>
        <v>000066</v>
      </c>
      <c r="K21" s="7">
        <v>43131</v>
      </c>
      <c r="L21" s="8" t="str">
        <f>"000129"</f>
        <v>000129</v>
      </c>
      <c r="M21" s="7">
        <v>43131</v>
      </c>
      <c r="N21" s="8">
        <v>15</v>
      </c>
      <c r="O21" s="8" t="str">
        <f>"002985"</f>
        <v>002985</v>
      </c>
      <c r="P21" s="7">
        <v>43640</v>
      </c>
      <c r="Q21" s="12">
        <v>9.4809999999999999</v>
      </c>
      <c r="R21" s="12">
        <v>0.53349999999999997</v>
      </c>
      <c r="S21" s="12">
        <v>8.9474999999999998</v>
      </c>
      <c r="T21" s="8">
        <v>96</v>
      </c>
      <c r="U21" s="7">
        <v>43647</v>
      </c>
      <c r="V21" s="8">
        <v>9845849007</v>
      </c>
      <c r="W21" s="11" t="s">
        <v>104</v>
      </c>
      <c r="X21" s="8" t="s">
        <v>105</v>
      </c>
      <c r="Y21" s="11" t="s">
        <v>106</v>
      </c>
      <c r="Z21" s="8" t="s">
        <v>46</v>
      </c>
      <c r="AA21" s="11" t="s">
        <v>47</v>
      </c>
      <c r="AB21" s="12">
        <f t="shared" ref="AB21:AB35" si="1">Q21/100</f>
        <v>9.4810000000000005E-2</v>
      </c>
    </row>
    <row r="22" spans="1:28" s="4" customFormat="1" ht="13" x14ac:dyDescent="0.3">
      <c r="A22" s="5">
        <v>1708</v>
      </c>
      <c r="B22" s="6" t="s">
        <v>101</v>
      </c>
      <c r="C22" s="7">
        <v>43648</v>
      </c>
      <c r="D22" s="8">
        <v>48</v>
      </c>
      <c r="E22" s="9" t="s">
        <v>42</v>
      </c>
      <c r="F22" s="8" t="s">
        <v>107</v>
      </c>
      <c r="G22" s="11" t="s">
        <v>108</v>
      </c>
      <c r="H22" s="8" t="str">
        <f>"000059"</f>
        <v>000059</v>
      </c>
      <c r="I22" s="7">
        <v>43000</v>
      </c>
      <c r="J22" s="8" t="str">
        <f>"000037"</f>
        <v>000037</v>
      </c>
      <c r="K22" s="7">
        <v>43269</v>
      </c>
      <c r="L22" s="8" t="str">
        <f>"000055"</f>
        <v>000055</v>
      </c>
      <c r="M22" s="7">
        <v>43269</v>
      </c>
      <c r="N22" s="8">
        <v>15</v>
      </c>
      <c r="O22" s="8" t="str">
        <f>"002928"</f>
        <v>002928</v>
      </c>
      <c r="P22" s="7">
        <v>43637</v>
      </c>
      <c r="Q22" s="12">
        <v>26.699470000000002</v>
      </c>
      <c r="R22" s="12">
        <v>0.72099999999999997</v>
      </c>
      <c r="S22" s="12">
        <v>25.978470000000002</v>
      </c>
      <c r="T22" s="8">
        <v>103</v>
      </c>
      <c r="U22" s="7">
        <v>43648</v>
      </c>
      <c r="V22" s="8">
        <v>9845489450</v>
      </c>
      <c r="W22" s="11" t="s">
        <v>109</v>
      </c>
      <c r="X22" s="8" t="s">
        <v>105</v>
      </c>
      <c r="Y22" s="11" t="s">
        <v>106</v>
      </c>
      <c r="Z22" s="8" t="s">
        <v>46</v>
      </c>
      <c r="AA22" s="11" t="s">
        <v>47</v>
      </c>
      <c r="AB22" s="12">
        <f t="shared" si="1"/>
        <v>0.26699470000000003</v>
      </c>
    </row>
    <row r="23" spans="1:28" s="4" customFormat="1" ht="13" x14ac:dyDescent="0.3">
      <c r="A23" s="5">
        <v>1709</v>
      </c>
      <c r="B23" s="6" t="s">
        <v>101</v>
      </c>
      <c r="C23" s="7">
        <v>43650</v>
      </c>
      <c r="D23" s="8">
        <v>48</v>
      </c>
      <c r="E23" s="9" t="s">
        <v>42</v>
      </c>
      <c r="F23" s="8" t="s">
        <v>110</v>
      </c>
      <c r="G23" s="11" t="s">
        <v>111</v>
      </c>
      <c r="H23" s="8" t="str">
        <f>"000141"</f>
        <v>000141</v>
      </c>
      <c r="I23" s="7">
        <v>43383</v>
      </c>
      <c r="J23" s="8" t="str">
        <f>"000050"</f>
        <v>000050</v>
      </c>
      <c r="K23" s="7">
        <v>43591</v>
      </c>
      <c r="L23" s="8" t="str">
        <f>"000062"</f>
        <v>000062</v>
      </c>
      <c r="M23" s="7">
        <v>43594</v>
      </c>
      <c r="N23" s="8">
        <v>18</v>
      </c>
      <c r="O23" s="8" t="str">
        <f>"003271"</f>
        <v>003271</v>
      </c>
      <c r="P23" s="7">
        <v>43645</v>
      </c>
      <c r="Q23" s="12">
        <v>4.9400000000000004</v>
      </c>
      <c r="R23" s="12">
        <v>0.50475000000000003</v>
      </c>
      <c r="S23" s="12">
        <v>4.4352499999999999</v>
      </c>
      <c r="T23" s="8">
        <v>106</v>
      </c>
      <c r="U23" s="7">
        <v>43650</v>
      </c>
      <c r="V23" s="8">
        <v>9902246126</v>
      </c>
      <c r="W23" s="11" t="s">
        <v>41</v>
      </c>
      <c r="X23" s="8" t="s">
        <v>112</v>
      </c>
      <c r="Y23" s="11" t="s">
        <v>113</v>
      </c>
      <c r="Z23" s="8" t="s">
        <v>46</v>
      </c>
      <c r="AA23" s="11" t="s">
        <v>47</v>
      </c>
      <c r="AB23" s="12">
        <f t="shared" si="1"/>
        <v>4.9400000000000006E-2</v>
      </c>
    </row>
    <row r="24" spans="1:28" s="4" customFormat="1" ht="13" x14ac:dyDescent="0.3">
      <c r="A24" s="5">
        <v>1710</v>
      </c>
      <c r="B24" s="6" t="s">
        <v>101</v>
      </c>
      <c r="C24" s="7">
        <v>43669</v>
      </c>
      <c r="D24" s="8">
        <v>48</v>
      </c>
      <c r="E24" s="9" t="s">
        <v>42</v>
      </c>
      <c r="F24" s="8" t="s">
        <v>114</v>
      </c>
      <c r="G24" s="11" t="s">
        <v>115</v>
      </c>
      <c r="H24" s="8" t="str">
        <f>"000168"</f>
        <v>000168</v>
      </c>
      <c r="I24" s="7">
        <v>43103</v>
      </c>
      <c r="J24" s="8" t="str">
        <f>"000083"</f>
        <v>000083</v>
      </c>
      <c r="K24" s="7">
        <v>43139</v>
      </c>
      <c r="L24" s="8" t="str">
        <f>"000154"</f>
        <v>000154</v>
      </c>
      <c r="M24" s="7">
        <v>43140</v>
      </c>
      <c r="N24" s="8">
        <v>16</v>
      </c>
      <c r="O24" s="8" t="str">
        <f>"003611"</f>
        <v>003611</v>
      </c>
      <c r="P24" s="7">
        <v>43664</v>
      </c>
      <c r="Q24" s="12">
        <v>4.7236000000000002</v>
      </c>
      <c r="R24" s="12">
        <v>0.29949999999999999</v>
      </c>
      <c r="S24" s="12">
        <v>4.4241000000000001</v>
      </c>
      <c r="T24" s="8">
        <v>122</v>
      </c>
      <c r="U24" s="7">
        <v>43669</v>
      </c>
      <c r="V24" s="8">
        <v>9900083697</v>
      </c>
      <c r="W24" s="11" t="s">
        <v>94</v>
      </c>
      <c r="X24" s="8" t="s">
        <v>30</v>
      </c>
      <c r="Y24" s="11" t="s">
        <v>31</v>
      </c>
      <c r="Z24" s="8" t="s">
        <v>46</v>
      </c>
      <c r="AA24" s="11" t="s">
        <v>47</v>
      </c>
      <c r="AB24" s="12">
        <f t="shared" si="1"/>
        <v>4.7236E-2</v>
      </c>
    </row>
    <row r="25" spans="1:28" s="4" customFormat="1" ht="13" x14ac:dyDescent="0.3">
      <c r="A25" s="5">
        <v>1711</v>
      </c>
      <c r="B25" s="6" t="s">
        <v>101</v>
      </c>
      <c r="C25" s="7">
        <v>43669</v>
      </c>
      <c r="D25" s="8">
        <v>48</v>
      </c>
      <c r="E25" s="9" t="s">
        <v>42</v>
      </c>
      <c r="F25" s="8" t="s">
        <v>116</v>
      </c>
      <c r="G25" s="11" t="s">
        <v>117</v>
      </c>
      <c r="H25" s="8" t="str">
        <f>"000173"</f>
        <v>000173</v>
      </c>
      <c r="I25" s="7">
        <v>43103</v>
      </c>
      <c r="J25" s="8" t="str">
        <f>"000082"</f>
        <v>000082</v>
      </c>
      <c r="K25" s="7">
        <v>43139</v>
      </c>
      <c r="L25" s="8" t="str">
        <f>"000155"</f>
        <v>000155</v>
      </c>
      <c r="M25" s="7">
        <v>43140</v>
      </c>
      <c r="N25" s="8">
        <v>16</v>
      </c>
      <c r="O25" s="8" t="str">
        <f>"003612"</f>
        <v>003612</v>
      </c>
      <c r="P25" s="7">
        <v>43664</v>
      </c>
      <c r="Q25" s="12">
        <v>4.6239999999999997</v>
      </c>
      <c r="R25" s="12">
        <v>0.22620000000000001</v>
      </c>
      <c r="S25" s="12">
        <v>4.3978000000000002</v>
      </c>
      <c r="T25" s="8">
        <v>122</v>
      </c>
      <c r="U25" s="7">
        <v>43669</v>
      </c>
      <c r="V25" s="8">
        <v>9900083697</v>
      </c>
      <c r="W25" s="11" t="s">
        <v>94</v>
      </c>
      <c r="X25" s="8" t="s">
        <v>30</v>
      </c>
      <c r="Y25" s="11" t="s">
        <v>31</v>
      </c>
      <c r="Z25" s="8" t="s">
        <v>46</v>
      </c>
      <c r="AA25" s="11" t="s">
        <v>47</v>
      </c>
      <c r="AB25" s="12">
        <f t="shared" si="1"/>
        <v>4.6239999999999996E-2</v>
      </c>
    </row>
    <row r="26" spans="1:28" s="4" customFormat="1" ht="13" x14ac:dyDescent="0.3">
      <c r="A26" s="5">
        <v>1712</v>
      </c>
      <c r="B26" s="6" t="s">
        <v>101</v>
      </c>
      <c r="C26" s="7">
        <v>43669</v>
      </c>
      <c r="D26" s="8">
        <v>48</v>
      </c>
      <c r="E26" s="9" t="s">
        <v>42</v>
      </c>
      <c r="F26" s="8" t="s">
        <v>118</v>
      </c>
      <c r="G26" s="11" t="s">
        <v>119</v>
      </c>
      <c r="H26" s="8" t="str">
        <f>"000171"</f>
        <v>000171</v>
      </c>
      <c r="I26" s="7">
        <v>43103</v>
      </c>
      <c r="J26" s="8" t="str">
        <f>"000081"</f>
        <v>000081</v>
      </c>
      <c r="K26" s="7">
        <v>43139</v>
      </c>
      <c r="L26" s="8" t="str">
        <f>"000156"</f>
        <v>000156</v>
      </c>
      <c r="M26" s="7">
        <v>43140</v>
      </c>
      <c r="N26" s="8">
        <v>16</v>
      </c>
      <c r="O26" s="8" t="str">
        <f>"003613"</f>
        <v>003613</v>
      </c>
      <c r="P26" s="7">
        <v>43664</v>
      </c>
      <c r="Q26" s="12">
        <v>4.5860000000000003</v>
      </c>
      <c r="R26" s="12">
        <v>0.2243</v>
      </c>
      <c r="S26" s="12">
        <v>4.3616999999999999</v>
      </c>
      <c r="T26" s="8">
        <v>122</v>
      </c>
      <c r="U26" s="7">
        <v>43669</v>
      </c>
      <c r="V26" s="8">
        <v>9900083697</v>
      </c>
      <c r="W26" s="11" t="s">
        <v>94</v>
      </c>
      <c r="X26" s="8" t="s">
        <v>30</v>
      </c>
      <c r="Y26" s="11" t="s">
        <v>31</v>
      </c>
      <c r="Z26" s="8" t="s">
        <v>46</v>
      </c>
      <c r="AA26" s="11" t="s">
        <v>47</v>
      </c>
      <c r="AB26" s="12">
        <f t="shared" si="1"/>
        <v>4.5860000000000005E-2</v>
      </c>
    </row>
    <row r="27" spans="1:28" s="4" customFormat="1" ht="13" x14ac:dyDescent="0.3">
      <c r="A27" s="5">
        <v>1713</v>
      </c>
      <c r="B27" s="6" t="s">
        <v>101</v>
      </c>
      <c r="C27" s="7">
        <v>43669</v>
      </c>
      <c r="D27" s="8">
        <v>48</v>
      </c>
      <c r="E27" s="9" t="s">
        <v>42</v>
      </c>
      <c r="F27" s="8" t="s">
        <v>120</v>
      </c>
      <c r="G27" s="11" t="s">
        <v>121</v>
      </c>
      <c r="H27" s="8" t="str">
        <f>"000174"</f>
        <v>000174</v>
      </c>
      <c r="I27" s="7">
        <v>43103</v>
      </c>
      <c r="J27" s="8" t="str">
        <f>"000080"</f>
        <v>000080</v>
      </c>
      <c r="K27" s="7">
        <v>43139</v>
      </c>
      <c r="L27" s="8" t="str">
        <f>"000157"</f>
        <v>000157</v>
      </c>
      <c r="M27" s="7">
        <v>43140</v>
      </c>
      <c r="N27" s="8">
        <v>16</v>
      </c>
      <c r="O27" s="8" t="str">
        <f>"003614"</f>
        <v>003614</v>
      </c>
      <c r="P27" s="7">
        <v>43664</v>
      </c>
      <c r="Q27" s="12">
        <v>4.7058</v>
      </c>
      <c r="R27" s="12">
        <v>0.29980000000000001</v>
      </c>
      <c r="S27" s="12">
        <v>4.4059999999999997</v>
      </c>
      <c r="T27" s="8">
        <v>122</v>
      </c>
      <c r="U27" s="7">
        <v>43669</v>
      </c>
      <c r="V27" s="8">
        <v>9900083697</v>
      </c>
      <c r="W27" s="11" t="s">
        <v>94</v>
      </c>
      <c r="X27" s="8" t="s">
        <v>30</v>
      </c>
      <c r="Y27" s="11" t="s">
        <v>31</v>
      </c>
      <c r="Z27" s="8" t="s">
        <v>46</v>
      </c>
      <c r="AA27" s="11" t="s">
        <v>47</v>
      </c>
      <c r="AB27" s="12">
        <f t="shared" si="1"/>
        <v>4.7058000000000003E-2</v>
      </c>
    </row>
    <row r="28" spans="1:28" s="4" customFormat="1" ht="13" x14ac:dyDescent="0.3">
      <c r="A28" s="5">
        <v>1714</v>
      </c>
      <c r="B28" s="6" t="s">
        <v>101</v>
      </c>
      <c r="C28" s="7">
        <v>43669</v>
      </c>
      <c r="D28" s="8">
        <v>48</v>
      </c>
      <c r="E28" s="9" t="s">
        <v>42</v>
      </c>
      <c r="F28" s="8" t="s">
        <v>122</v>
      </c>
      <c r="G28" s="11" t="s">
        <v>123</v>
      </c>
      <c r="H28" s="8" t="str">
        <f>"000172"</f>
        <v>000172</v>
      </c>
      <c r="I28" s="7">
        <v>43103</v>
      </c>
      <c r="J28" s="8" t="str">
        <f>"000078"</f>
        <v>000078</v>
      </c>
      <c r="K28" s="7">
        <v>43138</v>
      </c>
      <c r="L28" s="8" t="str">
        <f>"000158"</f>
        <v>000158</v>
      </c>
      <c r="M28" s="7">
        <v>43140</v>
      </c>
      <c r="N28" s="8">
        <v>16</v>
      </c>
      <c r="O28" s="8" t="str">
        <f>"003615"</f>
        <v>003615</v>
      </c>
      <c r="P28" s="7">
        <v>43664</v>
      </c>
      <c r="Q28" s="12">
        <v>4.6158000000000001</v>
      </c>
      <c r="R28" s="12">
        <v>0.22489999999999999</v>
      </c>
      <c r="S28" s="12">
        <v>4.3909000000000002</v>
      </c>
      <c r="T28" s="8">
        <v>122</v>
      </c>
      <c r="U28" s="7">
        <v>43669</v>
      </c>
      <c r="V28" s="8">
        <v>9900083697</v>
      </c>
      <c r="W28" s="11" t="s">
        <v>94</v>
      </c>
      <c r="X28" s="8" t="s">
        <v>30</v>
      </c>
      <c r="Y28" s="11" t="s">
        <v>31</v>
      </c>
      <c r="Z28" s="8" t="s">
        <v>46</v>
      </c>
      <c r="AA28" s="11" t="s">
        <v>47</v>
      </c>
      <c r="AB28" s="12">
        <f t="shared" si="1"/>
        <v>4.6158000000000005E-2</v>
      </c>
    </row>
    <row r="29" spans="1:28" s="4" customFormat="1" ht="13" x14ac:dyDescent="0.3">
      <c r="A29" s="5">
        <v>1715</v>
      </c>
      <c r="B29" s="6" t="s">
        <v>101</v>
      </c>
      <c r="C29" s="7">
        <v>43669</v>
      </c>
      <c r="D29" s="8">
        <v>48</v>
      </c>
      <c r="E29" s="9" t="s">
        <v>42</v>
      </c>
      <c r="F29" s="8" t="s">
        <v>124</v>
      </c>
      <c r="G29" s="11" t="s">
        <v>125</v>
      </c>
      <c r="H29" s="8" t="str">
        <f>"000169"</f>
        <v>000169</v>
      </c>
      <c r="I29" s="7">
        <v>43103</v>
      </c>
      <c r="J29" s="8" t="str">
        <f>"000079"</f>
        <v>000079</v>
      </c>
      <c r="K29" s="7">
        <v>43138</v>
      </c>
      <c r="L29" s="8" t="str">
        <f>"000159"</f>
        <v>000159</v>
      </c>
      <c r="M29" s="7">
        <v>43140</v>
      </c>
      <c r="N29" s="8">
        <v>16</v>
      </c>
      <c r="O29" s="8" t="str">
        <f>"003616"</f>
        <v>003616</v>
      </c>
      <c r="P29" s="7">
        <v>43664</v>
      </c>
      <c r="Q29" s="12">
        <v>4.5956999999999999</v>
      </c>
      <c r="R29" s="12">
        <v>0.22617999999999999</v>
      </c>
      <c r="S29" s="12">
        <v>4.3695199999999996</v>
      </c>
      <c r="T29" s="8">
        <v>122</v>
      </c>
      <c r="U29" s="7">
        <v>43669</v>
      </c>
      <c r="V29" s="8">
        <v>9900083697</v>
      </c>
      <c r="W29" s="11" t="s">
        <v>94</v>
      </c>
      <c r="X29" s="8" t="s">
        <v>30</v>
      </c>
      <c r="Y29" s="11" t="s">
        <v>31</v>
      </c>
      <c r="Z29" s="8" t="s">
        <v>46</v>
      </c>
      <c r="AA29" s="11" t="s">
        <v>47</v>
      </c>
      <c r="AB29" s="12">
        <f t="shared" si="1"/>
        <v>4.5956999999999998E-2</v>
      </c>
    </row>
    <row r="30" spans="1:28" s="4" customFormat="1" ht="13" x14ac:dyDescent="0.3">
      <c r="A30" s="5">
        <v>1716</v>
      </c>
      <c r="B30" s="6" t="s">
        <v>101</v>
      </c>
      <c r="C30" s="7">
        <v>43669</v>
      </c>
      <c r="D30" s="8">
        <v>48</v>
      </c>
      <c r="E30" s="9" t="s">
        <v>42</v>
      </c>
      <c r="F30" s="8" t="s">
        <v>126</v>
      </c>
      <c r="G30" s="11" t="s">
        <v>127</v>
      </c>
      <c r="H30" s="8" t="str">
        <f>"000170"</f>
        <v>000170</v>
      </c>
      <c r="I30" s="7">
        <v>43103</v>
      </c>
      <c r="J30" s="8" t="str">
        <f>"000084"</f>
        <v>000084</v>
      </c>
      <c r="K30" s="7">
        <v>43139</v>
      </c>
      <c r="L30" s="8" t="str">
        <f>"000160"</f>
        <v>000160</v>
      </c>
      <c r="M30" s="7">
        <v>43140</v>
      </c>
      <c r="N30" s="8">
        <v>16</v>
      </c>
      <c r="O30" s="8" t="str">
        <f>"003617"</f>
        <v>003617</v>
      </c>
      <c r="P30" s="7">
        <v>43664</v>
      </c>
      <c r="Q30" s="12">
        <v>4.5949999999999998</v>
      </c>
      <c r="R30" s="12">
        <v>0.22409999999999999</v>
      </c>
      <c r="S30" s="12">
        <v>4.3708999999999998</v>
      </c>
      <c r="T30" s="8">
        <v>122</v>
      </c>
      <c r="U30" s="7">
        <v>43669</v>
      </c>
      <c r="V30" s="8">
        <v>9900083697</v>
      </c>
      <c r="W30" s="11" t="s">
        <v>94</v>
      </c>
      <c r="X30" s="8" t="s">
        <v>30</v>
      </c>
      <c r="Y30" s="11" t="s">
        <v>31</v>
      </c>
      <c r="Z30" s="8" t="s">
        <v>46</v>
      </c>
      <c r="AA30" s="11" t="s">
        <v>47</v>
      </c>
      <c r="AB30" s="12">
        <f t="shared" si="1"/>
        <v>4.5949999999999998E-2</v>
      </c>
    </row>
    <row r="31" spans="1:28" s="4" customFormat="1" ht="13" x14ac:dyDescent="0.3">
      <c r="A31" s="5">
        <v>1717</v>
      </c>
      <c r="B31" s="6" t="s">
        <v>101</v>
      </c>
      <c r="C31" s="7">
        <v>43677</v>
      </c>
      <c r="D31" s="8">
        <v>48</v>
      </c>
      <c r="E31" s="9" t="s">
        <v>42</v>
      </c>
      <c r="F31" s="8" t="s">
        <v>128</v>
      </c>
      <c r="G31" s="11" t="s">
        <v>129</v>
      </c>
      <c r="H31" s="8" t="str">
        <f>"000507"</f>
        <v>000507</v>
      </c>
      <c r="I31" s="7">
        <v>41702</v>
      </c>
      <c r="J31" s="8" t="str">
        <f>"000102"</f>
        <v>000102</v>
      </c>
      <c r="K31" s="7">
        <v>43153</v>
      </c>
      <c r="L31" s="8" t="str">
        <f>"000182"</f>
        <v>000182</v>
      </c>
      <c r="M31" s="7">
        <v>43153</v>
      </c>
      <c r="N31" s="8">
        <v>14</v>
      </c>
      <c r="O31" s="8" t="str">
        <f>"003941"</f>
        <v>003941</v>
      </c>
      <c r="P31" s="7">
        <v>43670</v>
      </c>
      <c r="Q31" s="12">
        <v>9.7799999999999994</v>
      </c>
      <c r="R31" s="12">
        <v>0.94089999999999996</v>
      </c>
      <c r="S31" s="12">
        <v>8.8391000000000002</v>
      </c>
      <c r="T31" s="8">
        <v>135</v>
      </c>
      <c r="U31" s="7">
        <v>43677</v>
      </c>
      <c r="V31" s="8">
        <v>9035660123</v>
      </c>
      <c r="W31" s="11" t="s">
        <v>130</v>
      </c>
      <c r="X31" s="8" t="s">
        <v>30</v>
      </c>
      <c r="Y31" s="11" t="s">
        <v>31</v>
      </c>
      <c r="Z31" s="8" t="s">
        <v>46</v>
      </c>
      <c r="AA31" s="11" t="s">
        <v>47</v>
      </c>
      <c r="AB31" s="12">
        <f t="shared" si="1"/>
        <v>9.7799999999999998E-2</v>
      </c>
    </row>
    <row r="32" spans="1:28" s="4" customFormat="1" ht="13" x14ac:dyDescent="0.3">
      <c r="A32" s="5">
        <v>1718</v>
      </c>
      <c r="B32" s="6" t="s">
        <v>131</v>
      </c>
      <c r="C32" s="7">
        <v>43679</v>
      </c>
      <c r="D32" s="8">
        <v>48</v>
      </c>
      <c r="E32" s="9" t="s">
        <v>42</v>
      </c>
      <c r="F32" s="8" t="s">
        <v>70</v>
      </c>
      <c r="G32" s="11" t="s">
        <v>71</v>
      </c>
      <c r="H32" s="8" t="str">
        <f>"000009"</f>
        <v>000009</v>
      </c>
      <c r="I32" s="7">
        <v>43410</v>
      </c>
      <c r="J32" s="8" t="str">
        <f>"000009"</f>
        <v>000009</v>
      </c>
      <c r="K32" s="7">
        <v>43675</v>
      </c>
      <c r="L32" s="8" t="str">
        <f>"000066"</f>
        <v>000066</v>
      </c>
      <c r="M32" s="7">
        <v>43675</v>
      </c>
      <c r="N32" s="8">
        <v>18</v>
      </c>
      <c r="O32" s="8" t="str">
        <f>"004184"</f>
        <v>004184</v>
      </c>
      <c r="P32" s="7">
        <v>43678</v>
      </c>
      <c r="Q32" s="12">
        <v>461.87</v>
      </c>
      <c r="R32" s="12">
        <v>25.189679999999999</v>
      </c>
      <c r="S32" s="12">
        <v>436.68031999999999</v>
      </c>
      <c r="T32" s="8">
        <v>139</v>
      </c>
      <c r="U32" s="7">
        <v>43679</v>
      </c>
      <c r="V32" s="8">
        <v>9845101928</v>
      </c>
      <c r="W32" s="11" t="s">
        <v>132</v>
      </c>
      <c r="X32" s="8" t="s">
        <v>33</v>
      </c>
      <c r="Y32" s="11" t="s">
        <v>34</v>
      </c>
      <c r="Z32" s="8" t="s">
        <v>73</v>
      </c>
      <c r="AA32" s="11" t="s">
        <v>74</v>
      </c>
      <c r="AB32" s="12">
        <f t="shared" si="1"/>
        <v>4.6187000000000005</v>
      </c>
    </row>
    <row r="33" spans="1:28" s="4" customFormat="1" ht="13" x14ac:dyDescent="0.3">
      <c r="A33" s="5">
        <v>1719</v>
      </c>
      <c r="B33" s="6" t="s">
        <v>131</v>
      </c>
      <c r="C33" s="7">
        <v>43684</v>
      </c>
      <c r="D33" s="8">
        <v>48</v>
      </c>
      <c r="E33" s="9" t="s">
        <v>42</v>
      </c>
      <c r="F33" s="8" t="s">
        <v>133</v>
      </c>
      <c r="G33" s="11" t="s">
        <v>134</v>
      </c>
      <c r="H33" s="8" t="str">
        <f>"000060"</f>
        <v>000060</v>
      </c>
      <c r="I33" s="7">
        <v>43003</v>
      </c>
      <c r="J33" s="8" t="str">
        <f>"000105"</f>
        <v>000105</v>
      </c>
      <c r="K33" s="7">
        <v>43162</v>
      </c>
      <c r="L33" s="8" t="str">
        <f>"000189"</f>
        <v>000189</v>
      </c>
      <c r="M33" s="7">
        <v>43162</v>
      </c>
      <c r="N33" s="8">
        <v>16</v>
      </c>
      <c r="O33" s="8" t="str">
        <f>"004271"</f>
        <v>004271</v>
      </c>
      <c r="P33" s="7">
        <v>43680</v>
      </c>
      <c r="Q33" s="12">
        <v>9.4329999999999998</v>
      </c>
      <c r="R33" s="12">
        <v>0.60289999999999999</v>
      </c>
      <c r="S33" s="12">
        <v>8.8300999999999998</v>
      </c>
      <c r="T33" s="8">
        <v>144</v>
      </c>
      <c r="U33" s="7">
        <v>43684</v>
      </c>
      <c r="V33" s="8">
        <v>9591253009</v>
      </c>
      <c r="W33" s="11" t="s">
        <v>135</v>
      </c>
      <c r="X33" s="8" t="s">
        <v>30</v>
      </c>
      <c r="Y33" s="11" t="s">
        <v>31</v>
      </c>
      <c r="Z33" s="8" t="s">
        <v>46</v>
      </c>
      <c r="AA33" s="11" t="s">
        <v>47</v>
      </c>
      <c r="AB33" s="12">
        <f t="shared" si="1"/>
        <v>9.4329999999999997E-2</v>
      </c>
    </row>
    <row r="34" spans="1:28" s="4" customFormat="1" ht="13" x14ac:dyDescent="0.3">
      <c r="A34" s="5">
        <v>1720</v>
      </c>
      <c r="B34" s="6" t="s">
        <v>131</v>
      </c>
      <c r="C34" s="7">
        <v>43705</v>
      </c>
      <c r="D34" s="8">
        <v>48</v>
      </c>
      <c r="E34" s="9" t="s">
        <v>42</v>
      </c>
      <c r="F34" s="8" t="s">
        <v>136</v>
      </c>
      <c r="G34" s="11" t="s">
        <v>137</v>
      </c>
      <c r="H34" s="8" t="str">
        <f>"000.57"</f>
        <v>000.57</v>
      </c>
      <c r="I34" s="7">
        <v>42867</v>
      </c>
      <c r="J34" s="8" t="str">
        <f>"000070"</f>
        <v>000070</v>
      </c>
      <c r="K34" s="7">
        <v>43315</v>
      </c>
      <c r="L34" s="8" t="str">
        <f>"000097"</f>
        <v>000097</v>
      </c>
      <c r="M34" s="7">
        <v>43316</v>
      </c>
      <c r="N34" s="8">
        <v>16</v>
      </c>
      <c r="O34" s="8" t="str">
        <f>"004679"</f>
        <v>004679</v>
      </c>
      <c r="P34" s="7">
        <v>43698</v>
      </c>
      <c r="Q34" s="12">
        <v>24.370999999999999</v>
      </c>
      <c r="R34" s="12">
        <v>2.1155499999999998</v>
      </c>
      <c r="S34" s="12">
        <v>22.25545</v>
      </c>
      <c r="T34" s="8">
        <v>171</v>
      </c>
      <c r="U34" s="7">
        <v>43705</v>
      </c>
      <c r="V34" s="8">
        <v>9480685813</v>
      </c>
      <c r="W34" s="11" t="s">
        <v>89</v>
      </c>
      <c r="X34" s="8" t="s">
        <v>35</v>
      </c>
      <c r="Y34" s="11" t="s">
        <v>36</v>
      </c>
      <c r="Z34" s="8" t="s">
        <v>46</v>
      </c>
      <c r="AA34" s="11" t="s">
        <v>47</v>
      </c>
      <c r="AB34" s="12">
        <f t="shared" si="1"/>
        <v>0.24370999999999998</v>
      </c>
    </row>
    <row r="35" spans="1:28" s="4" customFormat="1" ht="13" x14ac:dyDescent="0.3">
      <c r="A35" s="5">
        <v>1721</v>
      </c>
      <c r="B35" s="6" t="s">
        <v>138</v>
      </c>
      <c r="C35" s="7">
        <v>43721</v>
      </c>
      <c r="D35" s="8">
        <v>48</v>
      </c>
      <c r="E35" s="9" t="s">
        <v>42</v>
      </c>
      <c r="F35" s="8" t="s">
        <v>139</v>
      </c>
      <c r="G35" s="11" t="s">
        <v>140</v>
      </c>
      <c r="H35" s="8" t="str">
        <f>"0.0171"</f>
        <v>0.0171</v>
      </c>
      <c r="I35" s="7">
        <v>42719</v>
      </c>
      <c r="J35" s="8" t="str">
        <f>"000088"</f>
        <v>000088</v>
      </c>
      <c r="K35" s="7">
        <v>43672</v>
      </c>
      <c r="L35" s="8" t="str">
        <f>"000116"</f>
        <v>000116</v>
      </c>
      <c r="M35" s="7">
        <v>43672</v>
      </c>
      <c r="N35" s="8">
        <v>16</v>
      </c>
      <c r="O35" s="8" t="str">
        <f>"005072"</f>
        <v>005072</v>
      </c>
      <c r="P35" s="7">
        <v>43720</v>
      </c>
      <c r="Q35" s="12">
        <v>0.43364000000000003</v>
      </c>
      <c r="R35" s="12">
        <v>4.3360000000000003E-2</v>
      </c>
      <c r="S35" s="12">
        <v>0.39028000000000002</v>
      </c>
      <c r="T35" s="8">
        <v>185</v>
      </c>
      <c r="U35" s="7">
        <v>43721</v>
      </c>
      <c r="V35" s="8">
        <v>9844004676</v>
      </c>
      <c r="W35" s="11" t="s">
        <v>141</v>
      </c>
      <c r="X35" s="8" t="s">
        <v>33</v>
      </c>
      <c r="Y35" s="11" t="s">
        <v>34</v>
      </c>
      <c r="Z35" s="8" t="s">
        <v>46</v>
      </c>
      <c r="AA35" s="11" t="s">
        <v>47</v>
      </c>
      <c r="AB35" s="12">
        <f t="shared" si="1"/>
        <v>4.3364000000000007E-3</v>
      </c>
    </row>
    <row r="36" spans="1:28" s="4" customFormat="1" ht="13" x14ac:dyDescent="0.3">
      <c r="A36" s="5">
        <v>1722</v>
      </c>
      <c r="B36" s="6" t="s">
        <v>142</v>
      </c>
      <c r="C36" s="7">
        <v>43748</v>
      </c>
      <c r="D36" s="5">
        <v>48</v>
      </c>
      <c r="E36" s="9" t="s">
        <v>42</v>
      </c>
      <c r="F36" s="8" t="s">
        <v>143</v>
      </c>
      <c r="G36" s="9" t="s">
        <v>144</v>
      </c>
      <c r="H36" s="8" t="str">
        <f>"000016"</f>
        <v>000016</v>
      </c>
      <c r="I36" s="7">
        <v>43283</v>
      </c>
      <c r="J36" s="8" t="str">
        <f>"000091"</f>
        <v>000091</v>
      </c>
      <c r="K36" s="7">
        <v>43339</v>
      </c>
      <c r="L36" s="8" t="str">
        <f>"000132"</f>
        <v>000132</v>
      </c>
      <c r="M36" s="7">
        <v>43349</v>
      </c>
      <c r="N36" s="8">
        <v>18</v>
      </c>
      <c r="O36" s="8" t="str">
        <f>"005636"</f>
        <v>005636</v>
      </c>
      <c r="P36" s="7">
        <v>43741</v>
      </c>
      <c r="Q36" s="10">
        <v>17.827999999999999</v>
      </c>
      <c r="R36" s="10">
        <v>0.49</v>
      </c>
      <c r="S36" s="10">
        <v>17.338000000000001</v>
      </c>
      <c r="T36" s="8">
        <v>13</v>
      </c>
      <c r="U36" s="7">
        <v>43748</v>
      </c>
      <c r="V36" s="8">
        <v>9900083697</v>
      </c>
      <c r="W36" s="9" t="s">
        <v>145</v>
      </c>
      <c r="X36" s="8" t="s">
        <v>30</v>
      </c>
      <c r="Y36" s="9" t="s">
        <v>31</v>
      </c>
      <c r="Z36" s="8" t="s">
        <v>46</v>
      </c>
      <c r="AA36" s="9" t="s">
        <v>47</v>
      </c>
      <c r="AB36" s="10">
        <v>0.17827999999999999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2020-01-28T11:48:26Z</dcterms:modified>
</cp:coreProperties>
</file>