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7" i="1" l="1"/>
  <c r="L47" i="1"/>
  <c r="J47" i="1"/>
  <c r="H47" i="1"/>
  <c r="O46" i="1"/>
  <c r="L46" i="1"/>
  <c r="J46" i="1"/>
  <c r="H46" i="1"/>
  <c r="O45" i="1"/>
  <c r="L45" i="1"/>
  <c r="J45" i="1"/>
  <c r="H45" i="1"/>
  <c r="O44" i="1"/>
  <c r="L44" i="1"/>
  <c r="J44" i="1"/>
  <c r="H44" i="1"/>
  <c r="O43" i="1"/>
  <c r="L43" i="1"/>
  <c r="J43" i="1"/>
  <c r="H43" i="1"/>
  <c r="O42" i="1"/>
  <c r="L42" i="1"/>
  <c r="J42" i="1"/>
  <c r="H42" i="1"/>
  <c r="O41" i="1"/>
  <c r="L41" i="1"/>
  <c r="J41" i="1"/>
  <c r="H41" i="1"/>
  <c r="O40" i="1"/>
  <c r="L40" i="1"/>
  <c r="J40" i="1"/>
  <c r="H40" i="1"/>
  <c r="O39" i="1"/>
  <c r="L39" i="1"/>
  <c r="J39" i="1"/>
  <c r="H39"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O25" i="1"/>
  <c r="L25" i="1"/>
  <c r="J25" i="1"/>
  <c r="H25" i="1"/>
  <c r="O24" i="1"/>
  <c r="L24" i="1"/>
  <c r="J24" i="1"/>
  <c r="H24" i="1"/>
  <c r="AB23" i="1"/>
  <c r="O23" i="1"/>
  <c r="L23" i="1"/>
  <c r="J23" i="1"/>
  <c r="H23" i="1"/>
  <c r="AB22" i="1"/>
  <c r="O22" i="1"/>
  <c r="L22" i="1"/>
  <c r="J22" i="1"/>
  <c r="H22" i="1"/>
  <c r="AB21" i="1"/>
  <c r="O21" i="1"/>
  <c r="L21" i="1"/>
  <c r="J21" i="1"/>
  <c r="H21" i="1"/>
  <c r="AB20"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<sst xmlns="http://schemas.openxmlformats.org/spreadsheetml/2006/main" count="442" uniqueCount="186">
  <si>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</si>
  <si>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</si>
  <si>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</si>
  <si>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</si>
  <si>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</si>
  <si>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</si>
  <si>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</si>
  <si>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</si>
  <si>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</si>
  <si>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</si>
  <si>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</si>
  <si>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</si>
  <si>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</si>
  <si>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</si>
  <si>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</si>
  <si>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</si>
  <si>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</si>
  <si>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</si>
  <si>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</si>
  <si>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</si>
  <si>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</si>
  <si>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</si>
  <si>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</si>
  <si>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</si>
  <si>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</si>
  <si>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</si>
  <si>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</si>
  <si>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</si>
  <si>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</si>
  <si>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M/s Sri Vinayaka Electricals</t>
  </si>
  <si>
    <t>P0300</t>
  </si>
  <si>
    <t>M and R to Street Lights - Replacement of Burnt Bulbs etc. (Package)</t>
  </si>
  <si>
    <t>ddo617</t>
  </si>
  <si>
    <t xml:space="preserve"> Executive Engineer Electrical Yelhanka Zone</t>
  </si>
  <si>
    <t>June</t>
  </si>
  <si>
    <t>P1771</t>
  </si>
  <si>
    <t>Zone Works - POW Works</t>
  </si>
  <si>
    <t>May</t>
  </si>
  <si>
    <t>P3089</t>
  </si>
  <si>
    <t>Special Development works in 7 CMC and 1 TMC area in BBMP</t>
  </si>
  <si>
    <t>18per - Works (Bhagyajyothi, Sooru / Neeru Yojane and General) (54 Lakhs / New Wards)</t>
  </si>
  <si>
    <t>P1878</t>
  </si>
  <si>
    <t>Jakkuru</t>
  </si>
  <si>
    <t>005-17-000046</t>
  </si>
  <si>
    <t>Devlopment of green space and parks to vinfield layout main road park wand no 5 Jakkur ( yelahanka zone)</t>
  </si>
  <si>
    <t>Mahesh K.N</t>
  </si>
  <si>
    <t>P3122</t>
  </si>
  <si>
    <t>AMRUT Project Horticulture</t>
  </si>
  <si>
    <t>ddo611</t>
  </si>
  <si>
    <t xml:space="preserve"> Executive Engineer 1 - Projects 2 Central Zone</t>
  </si>
  <si>
    <t>005-16-000024</t>
  </si>
  <si>
    <t>Operation and maintenance of Street lights in Jakkur Ward W No 5 PackageY 5</t>
  </si>
  <si>
    <t>005-16-000052</t>
  </si>
  <si>
    <t>Consultancy Services for Preparation of DPR (which includes Survey,Designs, Drawing, Estimate etc.,) for Package No.01 (package consists of 11 works of Rs.450.00 Lakhs)</t>
  </si>
  <si>
    <t>B V H Engineers Malagonda Basagonda Naik</t>
  </si>
  <si>
    <t>P3106</t>
  </si>
  <si>
    <t>Nagarothana Works</t>
  </si>
  <si>
    <t>ddo226</t>
  </si>
  <si>
    <t xml:space="preserve"> Assistant Executive Engineer Dasarahalli Yelhanka Zone</t>
  </si>
  <si>
    <t>005-17-000041</t>
  </si>
  <si>
    <t>Improvements drains and covering slabs at Agrahara layout in ward no 05 Jakku</t>
  </si>
  <si>
    <t>M/S KRIDL</t>
  </si>
  <si>
    <t>P0190</t>
  </si>
  <si>
    <t>Works sanctioned by Hon Mayor</t>
  </si>
  <si>
    <t>005-19-000006</t>
  </si>
  <si>
    <t>PROVIDING TUBULER POLES CONTROL WIRES TIMER SWITCHES AND ENERGY EFFICIENT LED STREET LIGHT TO KATTIGENHAHALLI COLONY, AMBEDKAR NAGARA, TIPPU NAGARA, SANDEEPUNNIKRISHNAN NAGARA, AND SURROUNDING AREAS IN WARD NO 5 JAKKUR</t>
  </si>
  <si>
    <t>Technical Manger</t>
  </si>
  <si>
    <t>005-19-000007</t>
  </si>
  <si>
    <t>PROVIDING TUBULER POLES CONTROL WIERES TIMER SWITCHES AND ENERGY EFFICIENT LET STREET LIGHTTO KOGILU VILLAGE AGRHARA VILLAGE BASAVALINGAPPA NAGARA JAKKURU COLONY AND SURROUNDING AREAS IN WARD NO 5 JAKKURU</t>
  </si>
  <si>
    <t>005-19-000003</t>
  </si>
  <si>
    <t>IMPROVEMENTS OF ROADS DRAINS AND REMOVING RESETTING AND COVERING SLABS AT AMBEDKAR NAGARA AND KATTIGENAHALLI COLONY IN WARD NO 5 BYATARAYANAPURA SUB DIVISION</t>
  </si>
  <si>
    <t>Executive Engineer,Karnataka Rural Infrastructure Development Ltd</t>
  </si>
  <si>
    <t>005-19-000004</t>
  </si>
  <si>
    <t>PROVIDING CC ROADS AND IMPROVEMENTS TO DRAINS IN WARD NO 5 BYATARAYANAPURA SUB DIVISION</t>
  </si>
  <si>
    <t>005-17-000020</t>
  </si>
  <si>
    <t>Engaging Tractor and Labours for Daily maintenane works at Kattigenahalli Pallanahalli Bellahalli Chokkanahalli and Thirumenahalli and other areas Ward No 05 Byatarayanapura Sub Division</t>
  </si>
  <si>
    <t>Sree Charan Construction (TS Kothandaraju)</t>
  </si>
  <si>
    <t>005-17-000019</t>
  </si>
  <si>
    <t>Engaging Tractor and Labours for Daily maintenance works at Kogilu Agrahara Kogilu Layout Agrahara layout Sampigehalli and other areas Ward No 05 Byatarayanapura Sub Division</t>
  </si>
  <si>
    <t>Sree Charan Construction T S Kothandaraju</t>
  </si>
  <si>
    <t>005-17-000011</t>
  </si>
  <si>
    <t>Improvements to Road and Drains at Kattigenahalli Surrounding area in Ward  No 05 Byatarayanapura Sub Division</t>
  </si>
  <si>
    <t>M/s Nischal Construction Sri N Naveen</t>
  </si>
  <si>
    <t>005-16-000006</t>
  </si>
  <si>
    <t>Improvements to Roads and Drains at Sriram Pura Connecting Road to Telecom Layout  in ward no 05 Byatarayanapura Sub Division</t>
  </si>
  <si>
    <t>N Venu</t>
  </si>
  <si>
    <t>K R Santhosh Kumar</t>
  </si>
  <si>
    <t>005-17-000013</t>
  </si>
  <si>
    <t>Improvements to Road and Drains at Kogilu Surrounding area in Ward No 05 Byatarayanapura Sub Division</t>
  </si>
  <si>
    <t>M/s Nischal Constructions N Naveen</t>
  </si>
  <si>
    <t>005-16-000010</t>
  </si>
  <si>
    <t>Improvements to Roads and Drains at Basavalingappanagar in ward no 05 Byatarayanapura Sub Division</t>
  </si>
  <si>
    <t>K Narasimha Raju</t>
  </si>
  <si>
    <t>005-16-000009</t>
  </si>
  <si>
    <t>Improvements to Roads and Drains at Balaji Krupa Layout in ward no 05 Byatarayanapura Sub Division</t>
  </si>
  <si>
    <t>005-17-000016</t>
  </si>
  <si>
    <t>Improvements to Road and Drains at Jakkur Extension in ward No 5 Byatarayanapura sub division</t>
  </si>
  <si>
    <t>Narasimharaju K</t>
  </si>
  <si>
    <t>July</t>
  </si>
  <si>
    <t>005-17-000035</t>
  </si>
  <si>
    <t>Providing Aerial bunch cable and Additional Street light fittings and automatic Timer controler to Major roads by using released Tubular poles to Byatarayanapura Constituency area in Ward No 05 to 11</t>
  </si>
  <si>
    <t>M/s Sri Lakshmivaradaraja Electrical Stores</t>
  </si>
  <si>
    <t>P1517</t>
  </si>
  <si>
    <t>Upgrading Street Lighting of Bangalore - Major Roads</t>
  </si>
  <si>
    <t>005-16-000007</t>
  </si>
  <si>
    <t>Improvements to Roads and Drains at Chokkanahalli Layout in ward no 05 Byatarayanapura Sub Division</t>
  </si>
  <si>
    <t>N Naveen Kumar</t>
  </si>
  <si>
    <t>005-16-000014</t>
  </si>
  <si>
    <t>Improvements to Roads and Drains at Agrahara Layout in ward no 05 Byatarayanapura Sub Division</t>
  </si>
  <si>
    <t>Gopi reddy</t>
  </si>
  <si>
    <t>005-18-000001</t>
  </si>
  <si>
    <t>Construction of temporary Immersion Tank for Lord Ganesh Idols in ward no 05 Thanisandra Byatarayanapura Sub Division</t>
  </si>
  <si>
    <t>P3155</t>
  </si>
  <si>
    <t>Immerssion of Ganesha Idols</t>
  </si>
  <si>
    <t>August</t>
  </si>
  <si>
    <t>005-16-000041</t>
  </si>
  <si>
    <t>Package No:04 Consists of 23 works</t>
  </si>
  <si>
    <t>M S Venkatesh</t>
  </si>
  <si>
    <t>005-16-000008</t>
  </si>
  <si>
    <t>Improvements to Roads and Drains at Agrahara Village to Lake Road in ward no 05 Byatarayanapura Sub Division</t>
  </si>
  <si>
    <t>Gopi Reddy</t>
  </si>
  <si>
    <t>005-19-000025</t>
  </si>
  <si>
    <t>Restoration of water supply road cut portion done by BWSSB on back to back road restoriation basis at Vinayaka nagara dwarakanagara Defence Anandanagara and Balaji layoaut in ward no 5 Byatarayanapura sub divisiion.</t>
  </si>
  <si>
    <t>R Satheesh (Sathya Construction)</t>
  </si>
  <si>
    <t>P0613</t>
  </si>
  <si>
    <t>Redoing of Road cut Portions (Deposit Contributions)</t>
  </si>
  <si>
    <t>September</t>
  </si>
  <si>
    <t>005-18-000056</t>
  </si>
  <si>
    <t>Providing Borewells Pipelines and water supply Vinayaka Nagar Dwarakanagar Agrahara layout Kogilu layout Kattigenahalli Chokkanahalli Surrounding area in ward no 05</t>
  </si>
  <si>
    <t>Technical Manager(West)</t>
  </si>
  <si>
    <t>P3158</t>
  </si>
  <si>
    <t>SIP Infrastructure Project works</t>
  </si>
  <si>
    <t>ddo235</t>
  </si>
  <si>
    <t xml:space="preserve"> Assistant Executive Engineer Project-1 Yelahanka Zone</t>
  </si>
  <si>
    <t>005-17-000001</t>
  </si>
  <si>
    <t>Consultancy Services for Project Management Consultancy for the work of Improvements and asphalting to roads at Agrahara layout in ward no 05 Byatarayanapura Sub Division</t>
  </si>
  <si>
    <t>Sri Vinay kumar G B</t>
  </si>
  <si>
    <t>P3112</t>
  </si>
  <si>
    <t>Swacha Bharatha Abhiyana Grant Works</t>
  </si>
  <si>
    <t>005-17-000002</t>
  </si>
  <si>
    <t>Consultancy Services for Project Management Consultancy for the Work of Improvements and asphalting to roads at Kogilu layout in ward no 05 Byatarayanapura Sub Division</t>
  </si>
  <si>
    <t>Sri.Vinay Kumar G B</t>
  </si>
  <si>
    <t>005-18-000002</t>
  </si>
  <si>
    <t>Providing LED Street lights in ward no 05 Jakkur Yelahanka Zone</t>
  </si>
  <si>
    <t>Technical Manager KRIDL</t>
  </si>
  <si>
    <t>October</t>
  </si>
  <si>
    <t>005-17-000024</t>
  </si>
  <si>
    <t>Maintenance of Existing Borewell in ward No 05 Byatarayanapura Sub Division</t>
  </si>
  <si>
    <t>Madhuraj H N</t>
  </si>
  <si>
    <t>P1802</t>
  </si>
  <si>
    <t>Water Supply New Areas</t>
  </si>
  <si>
    <t>005-17-000017</t>
  </si>
  <si>
    <t>Maintenance of Existing Borewells only for Drilled and Maintenance by BBMP In ward No 05 surrounding area Byatarayanaupra Sub Division</t>
  </si>
  <si>
    <t>H V NAGARAJ</t>
  </si>
  <si>
    <t>005-18-000038</t>
  </si>
  <si>
    <t>Package 9 1 Improvement of drain at thirumenahalli village main road in ward no 05 2 Thirumenahalli junction to agrahara layout govt hospital in ward no 05 3 Chokkanahalli village main road cross road in ward no 05 4 Markendey anagara main road and cross roads in ward no 05 5 Sriraj layout main road and cross road in ward no 05 6 Kogilu surrounding in ward no 05 7 Agrahara village cross roads in ward no 05 8 Agrahara layout kallappa reddy main road in ward no 05</t>
  </si>
  <si>
    <t xml:space="preserve">Sri. S.K. CHANDRA </t>
  </si>
  <si>
    <t>November</t>
  </si>
  <si>
    <t>005-17-000068</t>
  </si>
  <si>
    <t>Drilling of Borewells and Providing RO Plants at Dwarakanagara, Palanahalli, Thirumenahalli and Srirampura in ward no 05</t>
  </si>
  <si>
    <t>Sri K.Gopireddy</t>
  </si>
  <si>
    <t>P3119</t>
  </si>
  <si>
    <t>Developmental works at Byatarayanapura and Pulakeshinagar assembly constituency(Rs.5.cr each)</t>
  </si>
  <si>
    <t>December</t>
  </si>
  <si>
    <t>005-19-000015</t>
  </si>
  <si>
    <t>Cleaning of Burrial Ground and Providing water tank at Kattigenahalli Burrial Ground in ward no 5</t>
  </si>
  <si>
    <t>Narayana Rao S</t>
  </si>
  <si>
    <t>P3291</t>
  </si>
  <si>
    <t>14th Fin -Maintenance of Cremotorium, Burial Grounds</t>
  </si>
  <si>
    <t>005-19-000016</t>
  </si>
  <si>
    <t>Maintenance of Telecom layout parks in ward no 5</t>
  </si>
  <si>
    <t>P3292</t>
  </si>
  <si>
    <t>14th Finance Commission Works - Community Property Maintenance (including Parks)</t>
  </si>
  <si>
    <t>005-19-000019</t>
  </si>
  <si>
    <t>Repairs and maintenance of existing Dry waste collection center building at Palanahalli in ward no 5</t>
  </si>
  <si>
    <t>P3298</t>
  </si>
  <si>
    <t>14th Finance Commission Works - SWM Works</t>
  </si>
  <si>
    <t>005-19-000018</t>
  </si>
  <si>
    <t>Improvements of roads and footpath in ward no 5</t>
  </si>
  <si>
    <t>Suresh K</t>
  </si>
  <si>
    <t>P3296</t>
  </si>
  <si>
    <t>14th Finance Commission Works - Road and Footpath Maintenance</t>
  </si>
  <si>
    <t>005-19-000017</t>
  </si>
  <si>
    <t>Repair works of public toilets at Agrahara layout and Vinayakanagara in ward no 5</t>
  </si>
  <si>
    <t>P3294</t>
  </si>
  <si>
    <t>14th Finance Commission Works - General Public ToiletandSeptage Maintenance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</si>
</sst>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tabSelected="1" topLeftCell="A43" workbookViewId="0">
      <selection activeCell="A2" sqref="A2:XFD47"/>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168</v>
      </c>
      <c r="B2" s="6" t="s">
        <v>28</v>
      </c>
      <c r="C2" s="7">
        <v>43563</v>
      </c>
      <c r="D2" s="8">
        <v>5</v>
      </c>
      <c r="E2" s="9" t="s">
        <v>42</v>
      </c>
      <c r="F2" s="8" t="s">
        <v>43</v>
      </c>
      <c r="G2" s="9" t="s">
        <v>44</v>
      </c>
      <c r="H2" s="8" t="str">
        <f>"000062"</f>
        <v>000062</v>
      </c>
      <c r="I2" s="7">
        <v>43540</v>
      </c>
      <c r="J2" s="8" t="str">
        <f>"000046"</f>
        <v>000046</v>
      </c>
      <c r="K2" s="7">
        <v>43547</v>
      </c>
      <c r="L2" s="8" t="str">
        <f>"000142"</f>
        <v>000142</v>
      </c>
      <c r="M2" s="7">
        <v>43547</v>
      </c>
      <c r="N2" s="8">
        <v>17</v>
      </c>
      <c r="O2" s="8" t="str">
        <f>"000687"</f>
        <v>000687</v>
      </c>
      <c r="P2" s="7">
        <v>43571</v>
      </c>
      <c r="Q2" s="10">
        <v>72.221500000000006</v>
      </c>
      <c r="R2" s="10">
        <v>4.0546499999999996</v>
      </c>
      <c r="S2" s="10">
        <v>68.166849999999997</v>
      </c>
      <c r="T2" s="8">
        <v>5</v>
      </c>
      <c r="U2" s="7">
        <v>43563</v>
      </c>
      <c r="V2" s="8">
        <v>9886775766</v>
      </c>
      <c r="W2" s="9" t="s">
        <v>45</v>
      </c>
      <c r="X2" s="8" t="s">
        <v>46</v>
      </c>
      <c r="Y2" s="9" t="s">
        <v>47</v>
      </c>
      <c r="Z2" s="8" t="s">
        <v>48</v>
      </c>
      <c r="AA2" s="9" t="s">
        <v>49</v>
      </c>
      <c r="AB2" s="10">
        <f t="shared" ref="AB2:AB23" si="0">Q2/100</f>
        <v>0.72221500000000005</v>
      </c>
    </row>
    <row r="3" spans="1:28" s="4" customFormat="1" ht="13" x14ac:dyDescent="0.3">
      <c r="A3" s="5">
        <v>169</v>
      </c>
      <c r="B3" s="6" t="s">
        <v>28</v>
      </c>
      <c r="C3" s="7">
        <v>43567</v>
      </c>
      <c r="D3" s="8">
        <v>5</v>
      </c>
      <c r="E3" s="9" t="s">
        <v>42</v>
      </c>
      <c r="F3" s="8" t="s">
        <v>50</v>
      </c>
      <c r="G3" s="9" t="s">
        <v>51</v>
      </c>
      <c r="H3" s="8" t="str">
        <f>"000038"</f>
        <v>000038</v>
      </c>
      <c r="I3" s="7">
        <v>42804</v>
      </c>
      <c r="J3" s="8" t="str">
        <f>"000027"</f>
        <v>000027</v>
      </c>
      <c r="K3" s="7">
        <v>43111</v>
      </c>
      <c r="L3" s="8" t="str">
        <f>"000027"</f>
        <v>000027</v>
      </c>
      <c r="M3" s="7">
        <v>43111</v>
      </c>
      <c r="N3" s="8">
        <v>16</v>
      </c>
      <c r="O3" s="8" t="str">
        <f>"000337"</f>
        <v>000337</v>
      </c>
      <c r="P3" s="7">
        <v>43566</v>
      </c>
      <c r="Q3" s="10">
        <v>10.978759999999999</v>
      </c>
      <c r="R3" s="10">
        <v>0.73872000000000004</v>
      </c>
      <c r="S3" s="10">
        <v>10.24004</v>
      </c>
      <c r="T3" s="8">
        <v>17</v>
      </c>
      <c r="U3" s="7">
        <v>43567</v>
      </c>
      <c r="V3" s="8">
        <v>9060589769</v>
      </c>
      <c r="W3" s="9" t="s">
        <v>29</v>
      </c>
      <c r="X3" s="8" t="s">
        <v>30</v>
      </c>
      <c r="Y3" s="9" t="s">
        <v>31</v>
      </c>
      <c r="Z3" s="8" t="s">
        <v>32</v>
      </c>
      <c r="AA3" s="9" t="s">
        <v>33</v>
      </c>
      <c r="AB3" s="10">
        <f t="shared" si="0"/>
        <v>0.1097876</v>
      </c>
    </row>
    <row r="4" spans="1:28" s="4" customFormat="1" ht="13" x14ac:dyDescent="0.3">
      <c r="A4" s="5">
        <v>170</v>
      </c>
      <c r="B4" s="6" t="s">
        <v>28</v>
      </c>
      <c r="C4" s="7">
        <v>43567</v>
      </c>
      <c r="D4" s="8">
        <v>5</v>
      </c>
      <c r="E4" s="9" t="s">
        <v>42</v>
      </c>
      <c r="F4" s="8" t="s">
        <v>50</v>
      </c>
      <c r="G4" s="9" t="s">
        <v>51</v>
      </c>
      <c r="H4" s="8" t="str">
        <f>"000038"</f>
        <v>000038</v>
      </c>
      <c r="I4" s="7">
        <v>42804</v>
      </c>
      <c r="J4" s="8" t="str">
        <f>"000027"</f>
        <v>000027</v>
      </c>
      <c r="K4" s="7">
        <v>43111</v>
      </c>
      <c r="L4" s="8" t="str">
        <f>"000027"</f>
        <v>000027</v>
      </c>
      <c r="M4" s="7">
        <v>43111</v>
      </c>
      <c r="N4" s="8">
        <v>16</v>
      </c>
      <c r="O4" s="8" t="str">
        <f>"000337"</f>
        <v>000337</v>
      </c>
      <c r="P4" s="7">
        <v>43566</v>
      </c>
      <c r="Q4" s="10">
        <v>8.7830100000000009</v>
      </c>
      <c r="R4" s="10">
        <v>0.86424999999999996</v>
      </c>
      <c r="S4" s="10">
        <v>7.9187599999999998</v>
      </c>
      <c r="T4" s="8">
        <v>17</v>
      </c>
      <c r="U4" s="7">
        <v>43567</v>
      </c>
      <c r="V4" s="8">
        <v>9060589769</v>
      </c>
      <c r="W4" s="9" t="s">
        <v>29</v>
      </c>
      <c r="X4" s="8" t="s">
        <v>30</v>
      </c>
      <c r="Y4" s="9" t="s">
        <v>31</v>
      </c>
      <c r="Z4" s="8" t="s">
        <v>32</v>
      </c>
      <c r="AA4" s="9" t="s">
        <v>33</v>
      </c>
      <c r="AB4" s="10">
        <f t="shared" si="0"/>
        <v>8.7830100000000008E-2</v>
      </c>
    </row>
    <row r="5" spans="1:28" s="4" customFormat="1" ht="13" x14ac:dyDescent="0.3">
      <c r="A5" s="5">
        <v>171</v>
      </c>
      <c r="B5" s="6" t="s">
        <v>28</v>
      </c>
      <c r="C5" s="7">
        <v>43571</v>
      </c>
      <c r="D5" s="8">
        <v>5</v>
      </c>
      <c r="E5" s="9" t="s">
        <v>42</v>
      </c>
      <c r="F5" s="8" t="s">
        <v>52</v>
      </c>
      <c r="G5" s="9" t="s">
        <v>53</v>
      </c>
      <c r="H5" s="8" t="str">
        <f>"000258"</f>
        <v>000258</v>
      </c>
      <c r="I5" s="7">
        <v>42825</v>
      </c>
      <c r="J5" s="8" t="str">
        <f>"000038"</f>
        <v>000038</v>
      </c>
      <c r="K5" s="7">
        <v>43150</v>
      </c>
      <c r="L5" s="8" t="str">
        <f>"000109"</f>
        <v>000109</v>
      </c>
      <c r="M5" s="7">
        <v>43152</v>
      </c>
      <c r="N5" s="8">
        <v>16</v>
      </c>
      <c r="O5" s="8" t="str">
        <f>"001076"</f>
        <v>001076</v>
      </c>
      <c r="P5" s="7">
        <v>43224</v>
      </c>
      <c r="Q5" s="10">
        <v>2.0249999999999999</v>
      </c>
      <c r="R5" s="10">
        <v>0.20250000000000001</v>
      </c>
      <c r="S5" s="10">
        <v>1.8225</v>
      </c>
      <c r="T5" s="8">
        <v>18</v>
      </c>
      <c r="U5" s="7">
        <v>43571</v>
      </c>
      <c r="V5" s="8">
        <v>9845623656</v>
      </c>
      <c r="W5" s="9" t="s">
        <v>54</v>
      </c>
      <c r="X5" s="8" t="s">
        <v>55</v>
      </c>
      <c r="Y5" s="9" t="s">
        <v>56</v>
      </c>
      <c r="Z5" s="8" t="s">
        <v>57</v>
      </c>
      <c r="AA5" s="9" t="s">
        <v>58</v>
      </c>
      <c r="AB5" s="10">
        <f t="shared" si="0"/>
        <v>2.0250000000000001E-2</v>
      </c>
    </row>
    <row r="6" spans="1:28" s="4" customFormat="1" ht="13" x14ac:dyDescent="0.3">
      <c r="A6" s="5">
        <v>172</v>
      </c>
      <c r="B6" s="6" t="s">
        <v>28</v>
      </c>
      <c r="C6" s="7">
        <v>43575</v>
      </c>
      <c r="D6" s="8">
        <v>5</v>
      </c>
      <c r="E6" s="9" t="s">
        <v>42</v>
      </c>
      <c r="F6" s="8" t="s">
        <v>50</v>
      </c>
      <c r="G6" s="9" t="s">
        <v>51</v>
      </c>
      <c r="H6" s="8" t="str">
        <f>"000038"</f>
        <v>000038</v>
      </c>
      <c r="I6" s="7">
        <v>42804</v>
      </c>
      <c r="J6" s="8" t="str">
        <f>"000027"</f>
        <v>000027</v>
      </c>
      <c r="K6" s="7">
        <v>43111</v>
      </c>
      <c r="L6" s="8" t="str">
        <f>"000027"</f>
        <v>000027</v>
      </c>
      <c r="M6" s="7">
        <v>43111</v>
      </c>
      <c r="N6" s="8">
        <v>16</v>
      </c>
      <c r="O6" s="8" t="str">
        <f>"000337"</f>
        <v>000337</v>
      </c>
      <c r="P6" s="7">
        <v>43566</v>
      </c>
      <c r="Q6" s="10">
        <v>8.7830100000000009</v>
      </c>
      <c r="R6" s="10">
        <v>1.0299100000000001</v>
      </c>
      <c r="S6" s="10">
        <v>7.7530999999999999</v>
      </c>
      <c r="T6" s="8">
        <v>20</v>
      </c>
      <c r="U6" s="7">
        <v>43575</v>
      </c>
      <c r="V6" s="8">
        <v>9060589769</v>
      </c>
      <c r="W6" s="9" t="s">
        <v>29</v>
      </c>
      <c r="X6" s="8" t="s">
        <v>30</v>
      </c>
      <c r="Y6" s="9" t="s">
        <v>31</v>
      </c>
      <c r="Z6" s="8" t="s">
        <v>32</v>
      </c>
      <c r="AA6" s="9" t="s">
        <v>33</v>
      </c>
      <c r="AB6" s="10">
        <f t="shared" si="0"/>
        <v>8.7830100000000008E-2</v>
      </c>
    </row>
    <row r="7" spans="1:28" s="4" customFormat="1" ht="13" x14ac:dyDescent="0.3">
      <c r="A7" s="5">
        <v>173</v>
      </c>
      <c r="B7" s="6" t="s">
        <v>28</v>
      </c>
      <c r="C7" s="7">
        <v>43577</v>
      </c>
      <c r="D7" s="8">
        <v>5</v>
      </c>
      <c r="E7" s="9" t="s">
        <v>42</v>
      </c>
      <c r="F7" s="8" t="s">
        <v>43</v>
      </c>
      <c r="G7" s="9" t="s">
        <v>44</v>
      </c>
      <c r="H7" s="8" t="str">
        <f>"000062"</f>
        <v>000062</v>
      </c>
      <c r="I7" s="7">
        <v>43540</v>
      </c>
      <c r="J7" s="8" t="str">
        <f>"000046"</f>
        <v>000046</v>
      </c>
      <c r="K7" s="7">
        <v>43547</v>
      </c>
      <c r="L7" s="8" t="str">
        <f>"000142"</f>
        <v>000142</v>
      </c>
      <c r="M7" s="7">
        <v>43547</v>
      </c>
      <c r="N7" s="8">
        <v>17</v>
      </c>
      <c r="O7" s="8" t="str">
        <f>"000687"</f>
        <v>000687</v>
      </c>
      <c r="P7" s="7">
        <v>43571</v>
      </c>
      <c r="Q7" s="10">
        <v>45.103299999999997</v>
      </c>
      <c r="R7" s="10">
        <v>2.3231000000000002</v>
      </c>
      <c r="S7" s="10">
        <v>42.780200000000001</v>
      </c>
      <c r="T7" s="8">
        <v>23</v>
      </c>
      <c r="U7" s="7">
        <v>43577</v>
      </c>
      <c r="V7" s="8">
        <v>9886775766</v>
      </c>
      <c r="W7" s="9" t="s">
        <v>45</v>
      </c>
      <c r="X7" s="8" t="s">
        <v>46</v>
      </c>
      <c r="Y7" s="9" t="s">
        <v>47</v>
      </c>
      <c r="Z7" s="8" t="s">
        <v>48</v>
      </c>
      <c r="AA7" s="9" t="s">
        <v>49</v>
      </c>
      <c r="AB7" s="10">
        <f t="shared" si="0"/>
        <v>0.45103299999999996</v>
      </c>
    </row>
    <row r="8" spans="1:28" s="4" customFormat="1" ht="13" x14ac:dyDescent="0.3">
      <c r="A8" s="5">
        <v>174</v>
      </c>
      <c r="B8" s="6" t="s">
        <v>28</v>
      </c>
      <c r="C8" s="7">
        <v>43577</v>
      </c>
      <c r="D8" s="8">
        <v>5</v>
      </c>
      <c r="E8" s="9" t="s">
        <v>42</v>
      </c>
      <c r="F8" s="8" t="s">
        <v>43</v>
      </c>
      <c r="G8" s="9" t="s">
        <v>44</v>
      </c>
      <c r="H8" s="8" t="str">
        <f>"000062"</f>
        <v>000062</v>
      </c>
      <c r="I8" s="7">
        <v>43540</v>
      </c>
      <c r="J8" s="8" t="str">
        <f>"000046"</f>
        <v>000046</v>
      </c>
      <c r="K8" s="7">
        <v>43547</v>
      </c>
      <c r="L8" s="8" t="str">
        <f>"000142"</f>
        <v>000142</v>
      </c>
      <c r="M8" s="7">
        <v>43547</v>
      </c>
      <c r="N8" s="8">
        <v>17</v>
      </c>
      <c r="O8" s="8" t="str">
        <f>"000687"</f>
        <v>000687</v>
      </c>
      <c r="P8" s="7">
        <v>43571</v>
      </c>
      <c r="Q8" s="10">
        <v>20.937999999999999</v>
      </c>
      <c r="R8" s="10">
        <v>0.85855000000000004</v>
      </c>
      <c r="S8" s="10">
        <v>20.079450000000001</v>
      </c>
      <c r="T8" s="8">
        <v>23</v>
      </c>
      <c r="U8" s="7">
        <v>43577</v>
      </c>
      <c r="V8" s="8">
        <v>9886775766</v>
      </c>
      <c r="W8" s="9" t="s">
        <v>45</v>
      </c>
      <c r="X8" s="8" t="s">
        <v>46</v>
      </c>
      <c r="Y8" s="9" t="s">
        <v>47</v>
      </c>
      <c r="Z8" s="8" t="s">
        <v>48</v>
      </c>
      <c r="AA8" s="9" t="s">
        <v>49</v>
      </c>
      <c r="AB8" s="10">
        <f t="shared" si="0"/>
        <v>0.20937999999999998</v>
      </c>
    </row>
    <row r="9" spans="1:28" s="4" customFormat="1" ht="13" x14ac:dyDescent="0.3">
      <c r="A9" s="5">
        <v>175</v>
      </c>
      <c r="B9" s="6" t="s">
        <v>28</v>
      </c>
      <c r="C9" s="7">
        <v>43580</v>
      </c>
      <c r="D9" s="8">
        <v>5</v>
      </c>
      <c r="E9" s="9" t="s">
        <v>42</v>
      </c>
      <c r="F9" s="8" t="s">
        <v>59</v>
      </c>
      <c r="G9" s="9" t="s">
        <v>60</v>
      </c>
      <c r="H9" s="8" t="str">
        <f>"000033"</f>
        <v>000033</v>
      </c>
      <c r="I9" s="7">
        <v>42844</v>
      </c>
      <c r="J9" s="8" t="str">
        <f>"000026"</f>
        <v>000026</v>
      </c>
      <c r="K9" s="7">
        <v>42916</v>
      </c>
      <c r="L9" s="8" t="str">
        <f>"000222"</f>
        <v>000222</v>
      </c>
      <c r="M9" s="7">
        <v>42916</v>
      </c>
      <c r="N9" s="8">
        <v>17</v>
      </c>
      <c r="O9" s="8" t="str">
        <f>"000848"</f>
        <v>000848</v>
      </c>
      <c r="P9" s="7">
        <v>43578</v>
      </c>
      <c r="Q9" s="10">
        <v>98.12209</v>
      </c>
      <c r="R9" s="10">
        <v>12.75023</v>
      </c>
      <c r="S9" s="10">
        <v>85.371859999999998</v>
      </c>
      <c r="T9" s="8">
        <v>28</v>
      </c>
      <c r="U9" s="7">
        <v>43580</v>
      </c>
      <c r="V9" s="8">
        <v>9449863065</v>
      </c>
      <c r="W9" s="9" t="s">
        <v>61</v>
      </c>
      <c r="X9" s="8" t="s">
        <v>62</v>
      </c>
      <c r="Y9" s="9" t="s">
        <v>63</v>
      </c>
      <c r="Z9" s="8" t="s">
        <v>57</v>
      </c>
      <c r="AA9" s="9" t="s">
        <v>58</v>
      </c>
      <c r="AB9" s="10">
        <f t="shared" si="0"/>
        <v>0.98122089999999995</v>
      </c>
    </row>
    <row r="10" spans="1:28" s="4" customFormat="1" ht="13" x14ac:dyDescent="0.3">
      <c r="A10" s="5">
        <v>176</v>
      </c>
      <c r="B10" s="6" t="s">
        <v>28</v>
      </c>
      <c r="C10" s="7">
        <v>43580</v>
      </c>
      <c r="D10" s="8">
        <v>5</v>
      </c>
      <c r="E10" s="9" t="s">
        <v>42</v>
      </c>
      <c r="F10" s="8" t="s">
        <v>50</v>
      </c>
      <c r="G10" s="9" t="s">
        <v>51</v>
      </c>
      <c r="H10" s="8" t="str">
        <f>"000038"</f>
        <v>000038</v>
      </c>
      <c r="I10" s="7">
        <v>42804</v>
      </c>
      <c r="J10" s="8" t="str">
        <f>"000027"</f>
        <v>000027</v>
      </c>
      <c r="K10" s="7">
        <v>43111</v>
      </c>
      <c r="L10" s="8" t="str">
        <f>"000027"</f>
        <v>000027</v>
      </c>
      <c r="M10" s="7">
        <v>43111</v>
      </c>
      <c r="N10" s="8">
        <v>16</v>
      </c>
      <c r="O10" s="8" t="str">
        <f>"000337"</f>
        <v>000337</v>
      </c>
      <c r="P10" s="7">
        <v>43566</v>
      </c>
      <c r="Q10" s="10">
        <v>4.3915100000000002</v>
      </c>
      <c r="R10" s="10">
        <v>1.3750599999999999</v>
      </c>
      <c r="S10" s="10">
        <v>3.0164499999999999</v>
      </c>
      <c r="T10" s="8">
        <v>29</v>
      </c>
      <c r="U10" s="7">
        <v>43580</v>
      </c>
      <c r="V10" s="8">
        <v>9060589769</v>
      </c>
      <c r="W10" s="9" t="s">
        <v>29</v>
      </c>
      <c r="X10" s="8" t="s">
        <v>30</v>
      </c>
      <c r="Y10" s="9" t="s">
        <v>31</v>
      </c>
      <c r="Z10" s="8" t="s">
        <v>32</v>
      </c>
      <c r="AA10" s="9" t="s">
        <v>33</v>
      </c>
      <c r="AB10" s="10">
        <f t="shared" si="0"/>
        <v>4.3915100000000006E-2</v>
      </c>
    </row>
    <row r="11" spans="1:28" s="4" customFormat="1" ht="13" x14ac:dyDescent="0.3">
      <c r="A11" s="5">
        <v>177</v>
      </c>
      <c r="B11" s="6" t="s">
        <v>28</v>
      </c>
      <c r="C11" s="7">
        <v>43581</v>
      </c>
      <c r="D11" s="8">
        <v>5</v>
      </c>
      <c r="E11" s="9" t="s">
        <v>42</v>
      </c>
      <c r="F11" s="8" t="s">
        <v>64</v>
      </c>
      <c r="G11" s="9" t="s">
        <v>65</v>
      </c>
      <c r="H11" s="8" t="str">
        <f>"000041"</f>
        <v>000041</v>
      </c>
      <c r="I11" s="7">
        <v>43385</v>
      </c>
      <c r="J11" s="8" t="str">
        <f>"000074"</f>
        <v>000074</v>
      </c>
      <c r="K11" s="7">
        <v>43433</v>
      </c>
      <c r="L11" s="8" t="str">
        <f>"000110"</f>
        <v>000110</v>
      </c>
      <c r="M11" s="7">
        <v>43433</v>
      </c>
      <c r="N11" s="8">
        <v>19</v>
      </c>
      <c r="O11" s="8" t="str">
        <f>"000921"</f>
        <v>000921</v>
      </c>
      <c r="P11" s="7">
        <v>43579</v>
      </c>
      <c r="Q11" s="10">
        <v>49.992550000000001</v>
      </c>
      <c r="R11" s="10">
        <v>6.2990700000000004</v>
      </c>
      <c r="S11" s="10">
        <v>43.693480000000001</v>
      </c>
      <c r="T11" s="8">
        <v>30</v>
      </c>
      <c r="U11" s="7">
        <v>43581</v>
      </c>
      <c r="V11" s="8">
        <v>9449863065</v>
      </c>
      <c r="W11" s="9" t="s">
        <v>66</v>
      </c>
      <c r="X11" s="8" t="s">
        <v>41</v>
      </c>
      <c r="Y11" s="9" t="s">
        <v>40</v>
      </c>
      <c r="Z11" s="8" t="s">
        <v>32</v>
      </c>
      <c r="AA11" s="9" t="s">
        <v>33</v>
      </c>
      <c r="AB11" s="10">
        <f t="shared" si="0"/>
        <v>0.49992550000000002</v>
      </c>
    </row>
    <row r="12" spans="1:28" s="4" customFormat="1" ht="13" x14ac:dyDescent="0.3">
      <c r="A12" s="5">
        <v>178</v>
      </c>
      <c r="B12" s="6" t="s">
        <v>28</v>
      </c>
      <c r="C12" s="7">
        <v>43581</v>
      </c>
      <c r="D12" s="8">
        <v>5</v>
      </c>
      <c r="E12" s="9" t="s">
        <v>42</v>
      </c>
      <c r="F12" s="8" t="s">
        <v>67</v>
      </c>
      <c r="G12" s="9" t="s">
        <v>68</v>
      </c>
      <c r="H12" s="8" t="str">
        <f>"000042"</f>
        <v>000042</v>
      </c>
      <c r="I12" s="7">
        <v>43385</v>
      </c>
      <c r="J12" s="8" t="str">
        <f>"000075"</f>
        <v>000075</v>
      </c>
      <c r="K12" s="7">
        <v>43433</v>
      </c>
      <c r="L12" s="8" t="str">
        <f>"000111"</f>
        <v>000111</v>
      </c>
      <c r="M12" s="7">
        <v>43433</v>
      </c>
      <c r="N12" s="8">
        <v>19</v>
      </c>
      <c r="O12" s="8" t="str">
        <f>"000922"</f>
        <v>000922</v>
      </c>
      <c r="P12" s="7">
        <v>43579</v>
      </c>
      <c r="Q12" s="10">
        <v>49.980460000000001</v>
      </c>
      <c r="R12" s="10">
        <v>6.2975300000000001</v>
      </c>
      <c r="S12" s="10">
        <v>43.682929999999999</v>
      </c>
      <c r="T12" s="8">
        <v>30</v>
      </c>
      <c r="U12" s="7">
        <v>43581</v>
      </c>
      <c r="V12" s="8">
        <v>9449863065</v>
      </c>
      <c r="W12" s="9" t="s">
        <v>66</v>
      </c>
      <c r="X12" s="8" t="s">
        <v>41</v>
      </c>
      <c r="Y12" s="9" t="s">
        <v>40</v>
      </c>
      <c r="Z12" s="8" t="s">
        <v>32</v>
      </c>
      <c r="AA12" s="9" t="s">
        <v>33</v>
      </c>
      <c r="AB12" s="10">
        <f t="shared" si="0"/>
        <v>0.49980459999999999</v>
      </c>
    </row>
    <row r="13" spans="1:28" s="4" customFormat="1" ht="13" x14ac:dyDescent="0.3">
      <c r="A13" s="5">
        <v>179</v>
      </c>
      <c r="B13" s="6" t="s">
        <v>28</v>
      </c>
      <c r="C13" s="7">
        <v>43581</v>
      </c>
      <c r="D13" s="8">
        <v>5</v>
      </c>
      <c r="E13" s="9" t="s">
        <v>42</v>
      </c>
      <c r="F13" s="8" t="s">
        <v>69</v>
      </c>
      <c r="G13" s="9" t="s">
        <v>70</v>
      </c>
      <c r="H13" s="8" t="str">
        <f>"000143"</f>
        <v>000143</v>
      </c>
      <c r="I13" s="7">
        <v>43393</v>
      </c>
      <c r="J13" s="8" t="str">
        <f>"000045"</f>
        <v>000045</v>
      </c>
      <c r="K13" s="7">
        <v>43431</v>
      </c>
      <c r="L13" s="8" t="str">
        <f>"000144"</f>
        <v>000144</v>
      </c>
      <c r="M13" s="7">
        <v>43431</v>
      </c>
      <c r="N13" s="8">
        <v>19</v>
      </c>
      <c r="O13" s="8" t="str">
        <f>"000936"</f>
        <v>000936</v>
      </c>
      <c r="P13" s="7">
        <v>43579</v>
      </c>
      <c r="Q13" s="10">
        <v>99.598399999999998</v>
      </c>
      <c r="R13" s="10">
        <v>10.94159</v>
      </c>
      <c r="S13" s="10">
        <v>88.656809999999993</v>
      </c>
      <c r="T13" s="8">
        <v>30</v>
      </c>
      <c r="U13" s="7">
        <v>43581</v>
      </c>
      <c r="V13" s="8">
        <v>9342471293</v>
      </c>
      <c r="W13" s="9" t="s">
        <v>71</v>
      </c>
      <c r="X13" s="8" t="s">
        <v>41</v>
      </c>
      <c r="Y13" s="9" t="s">
        <v>40</v>
      </c>
      <c r="Z13" s="8" t="s">
        <v>57</v>
      </c>
      <c r="AA13" s="9" t="s">
        <v>58</v>
      </c>
      <c r="AB13" s="10">
        <f t="shared" si="0"/>
        <v>0.99598399999999998</v>
      </c>
    </row>
    <row r="14" spans="1:28" s="4" customFormat="1" ht="13" x14ac:dyDescent="0.3">
      <c r="A14" s="5">
        <v>180</v>
      </c>
      <c r="B14" s="6" t="s">
        <v>28</v>
      </c>
      <c r="C14" s="7">
        <v>43581</v>
      </c>
      <c r="D14" s="8">
        <v>5</v>
      </c>
      <c r="E14" s="9" t="s">
        <v>42</v>
      </c>
      <c r="F14" s="8" t="s">
        <v>72</v>
      </c>
      <c r="G14" s="9" t="s">
        <v>73</v>
      </c>
      <c r="H14" s="8" t="str">
        <f>"000145"</f>
        <v>000145</v>
      </c>
      <c r="I14" s="7">
        <v>43393</v>
      </c>
      <c r="J14" s="8" t="str">
        <f>"000046"</f>
        <v>000046</v>
      </c>
      <c r="K14" s="7">
        <v>43431</v>
      </c>
      <c r="L14" s="8" t="str">
        <f>"000145"</f>
        <v>000145</v>
      </c>
      <c r="M14" s="7">
        <v>43431</v>
      </c>
      <c r="N14" s="8">
        <v>19</v>
      </c>
      <c r="O14" s="8" t="str">
        <f>"000937"</f>
        <v>000937</v>
      </c>
      <c r="P14" s="7">
        <v>43579</v>
      </c>
      <c r="Q14" s="10">
        <v>74.537540000000007</v>
      </c>
      <c r="R14" s="10">
        <v>8.1213999999999995</v>
      </c>
      <c r="S14" s="10">
        <v>66.416139999999999</v>
      </c>
      <c r="T14" s="8">
        <v>30</v>
      </c>
      <c r="U14" s="7">
        <v>43581</v>
      </c>
      <c r="V14" s="8">
        <v>9342471293</v>
      </c>
      <c r="W14" s="9" t="s">
        <v>71</v>
      </c>
      <c r="X14" s="8" t="s">
        <v>41</v>
      </c>
      <c r="Y14" s="9" t="s">
        <v>40</v>
      </c>
      <c r="Z14" s="8" t="s">
        <v>57</v>
      </c>
      <c r="AA14" s="9" t="s">
        <v>58</v>
      </c>
      <c r="AB14" s="10">
        <f t="shared" si="0"/>
        <v>0.74537540000000002</v>
      </c>
    </row>
    <row r="15" spans="1:28" s="4" customFormat="1" ht="13" x14ac:dyDescent="0.3">
      <c r="A15" s="5">
        <v>181</v>
      </c>
      <c r="B15" s="6" t="s">
        <v>28</v>
      </c>
      <c r="C15" s="7">
        <v>43582</v>
      </c>
      <c r="D15" s="8">
        <v>5</v>
      </c>
      <c r="E15" s="9" t="s">
        <v>42</v>
      </c>
      <c r="F15" s="8" t="s">
        <v>74</v>
      </c>
      <c r="G15" s="9" t="s">
        <v>75</v>
      </c>
      <c r="H15" s="8" t="str">
        <f>"000001"</f>
        <v>000001</v>
      </c>
      <c r="I15" s="7">
        <v>42970</v>
      </c>
      <c r="J15" s="8" t="str">
        <f>"000033"</f>
        <v>000033</v>
      </c>
      <c r="K15" s="7">
        <v>43132</v>
      </c>
      <c r="L15" s="8" t="str">
        <f>"000094"</f>
        <v>000094</v>
      </c>
      <c r="M15" s="7">
        <v>43132</v>
      </c>
      <c r="N15" s="8">
        <v>17</v>
      </c>
      <c r="O15" s="8" t="str">
        <f>"001070"</f>
        <v>001070</v>
      </c>
      <c r="P15" s="7">
        <v>43581</v>
      </c>
      <c r="Q15" s="10">
        <v>7.4204600000000003</v>
      </c>
      <c r="R15" s="10">
        <v>0.23003000000000001</v>
      </c>
      <c r="S15" s="10">
        <v>7.1904300000000001</v>
      </c>
      <c r="T15" s="8">
        <v>31</v>
      </c>
      <c r="U15" s="7">
        <v>43582</v>
      </c>
      <c r="V15" s="8">
        <v>9900577701</v>
      </c>
      <c r="W15" s="9" t="s">
        <v>76</v>
      </c>
      <c r="X15" s="8" t="s">
        <v>35</v>
      </c>
      <c r="Y15" s="9" t="s">
        <v>36</v>
      </c>
      <c r="Z15" s="8" t="s">
        <v>57</v>
      </c>
      <c r="AA15" s="9" t="s">
        <v>58</v>
      </c>
      <c r="AB15" s="10">
        <f t="shared" si="0"/>
        <v>7.4204600000000009E-2</v>
      </c>
    </row>
    <row r="16" spans="1:28" s="4" customFormat="1" ht="13" x14ac:dyDescent="0.3">
      <c r="A16" s="5">
        <v>182</v>
      </c>
      <c r="B16" s="6" t="s">
        <v>28</v>
      </c>
      <c r="C16" s="7">
        <v>43582</v>
      </c>
      <c r="D16" s="8">
        <v>5</v>
      </c>
      <c r="E16" s="9" t="s">
        <v>42</v>
      </c>
      <c r="F16" s="8" t="s">
        <v>77</v>
      </c>
      <c r="G16" s="9" t="s">
        <v>78</v>
      </c>
      <c r="H16" s="8" t="str">
        <f>"000048"</f>
        <v>000048</v>
      </c>
      <c r="I16" s="7">
        <v>42859</v>
      </c>
      <c r="J16" s="8" t="str">
        <f>"000032"</f>
        <v>000032</v>
      </c>
      <c r="K16" s="7">
        <v>43132</v>
      </c>
      <c r="L16" s="8" t="str">
        <f>"000095"</f>
        <v>000095</v>
      </c>
      <c r="M16" s="7">
        <v>43132</v>
      </c>
      <c r="N16" s="8">
        <v>17</v>
      </c>
      <c r="O16" s="8" t="str">
        <f>"001071"</f>
        <v>001071</v>
      </c>
      <c r="P16" s="7">
        <v>43581</v>
      </c>
      <c r="Q16" s="10">
        <v>7.3539300000000001</v>
      </c>
      <c r="R16" s="10">
        <v>0.22797000000000001</v>
      </c>
      <c r="S16" s="10">
        <v>7.1259600000000001</v>
      </c>
      <c r="T16" s="8">
        <v>31</v>
      </c>
      <c r="U16" s="7">
        <v>43582</v>
      </c>
      <c r="V16" s="8">
        <v>9900577701</v>
      </c>
      <c r="W16" s="9" t="s">
        <v>79</v>
      </c>
      <c r="X16" s="8" t="s">
        <v>35</v>
      </c>
      <c r="Y16" s="9" t="s">
        <v>36</v>
      </c>
      <c r="Z16" s="8" t="s">
        <v>57</v>
      </c>
      <c r="AA16" s="9" t="s">
        <v>58</v>
      </c>
      <c r="AB16" s="10">
        <f t="shared" si="0"/>
        <v>7.3539300000000002E-2</v>
      </c>
    </row>
    <row r="17" spans="1:28" s="4" customFormat="1" ht="13" x14ac:dyDescent="0.3">
      <c r="A17" s="5">
        <v>183</v>
      </c>
      <c r="B17" s="6" t="s">
        <v>37</v>
      </c>
      <c r="C17" s="7">
        <v>43601</v>
      </c>
      <c r="D17" s="8">
        <v>5</v>
      </c>
      <c r="E17" s="9" t="s">
        <v>42</v>
      </c>
      <c r="F17" s="8" t="s">
        <v>52</v>
      </c>
      <c r="G17" s="9" t="s">
        <v>53</v>
      </c>
      <c r="H17" s="8" t="str">
        <f>"000258"</f>
        <v>000258</v>
      </c>
      <c r="I17" s="7">
        <v>42825</v>
      </c>
      <c r="J17" s="8" t="str">
        <f>"000038"</f>
        <v>000038</v>
      </c>
      <c r="K17" s="7">
        <v>43150</v>
      </c>
      <c r="L17" s="8" t="str">
        <f>"000109"</f>
        <v>000109</v>
      </c>
      <c r="M17" s="7">
        <v>43152</v>
      </c>
      <c r="N17" s="8">
        <v>16</v>
      </c>
      <c r="O17" s="8" t="str">
        <f>"001076"</f>
        <v>001076</v>
      </c>
      <c r="P17" s="7">
        <v>43224</v>
      </c>
      <c r="Q17" s="10">
        <v>23.18235</v>
      </c>
      <c r="R17" s="10">
        <v>1.0380100000000001</v>
      </c>
      <c r="S17" s="10">
        <v>22.14434</v>
      </c>
      <c r="T17" s="8">
        <v>47</v>
      </c>
      <c r="U17" s="7">
        <v>43601</v>
      </c>
      <c r="V17" s="8">
        <v>9448123078</v>
      </c>
      <c r="W17" s="9" t="s">
        <v>86</v>
      </c>
      <c r="X17" s="8" t="s">
        <v>55</v>
      </c>
      <c r="Y17" s="9" t="s">
        <v>56</v>
      </c>
      <c r="Z17" s="8" t="s">
        <v>57</v>
      </c>
      <c r="AA17" s="9" t="s">
        <v>58</v>
      </c>
      <c r="AB17" s="10">
        <f t="shared" si="0"/>
        <v>0.23182349999999999</v>
      </c>
    </row>
    <row r="18" spans="1:28" s="4" customFormat="1" ht="13" x14ac:dyDescent="0.3">
      <c r="A18" s="5">
        <v>184</v>
      </c>
      <c r="B18" s="6" t="s">
        <v>37</v>
      </c>
      <c r="C18" s="7">
        <v>43602</v>
      </c>
      <c r="D18" s="8">
        <v>5</v>
      </c>
      <c r="E18" s="9" t="s">
        <v>42</v>
      </c>
      <c r="F18" s="8" t="s">
        <v>87</v>
      </c>
      <c r="G18" s="9" t="s">
        <v>88</v>
      </c>
      <c r="H18" s="8" t="str">
        <f>"000054"</f>
        <v>000054</v>
      </c>
      <c r="I18" s="7">
        <v>42861</v>
      </c>
      <c r="J18" s="8" t="str">
        <f>"000007"</f>
        <v>000007</v>
      </c>
      <c r="K18" s="7">
        <v>42990</v>
      </c>
      <c r="L18" s="8" t="str">
        <f>"000012"</f>
        <v>000012</v>
      </c>
      <c r="M18" s="7">
        <v>42990</v>
      </c>
      <c r="N18" s="8">
        <v>17</v>
      </c>
      <c r="O18" s="8" t="str">
        <f>"001537"</f>
        <v>001537</v>
      </c>
      <c r="P18" s="7">
        <v>43599</v>
      </c>
      <c r="Q18" s="10">
        <v>28.489519999999999</v>
      </c>
      <c r="R18" s="10">
        <v>1.82334</v>
      </c>
      <c r="S18" s="10">
        <v>26.666180000000001</v>
      </c>
      <c r="T18" s="8">
        <v>49</v>
      </c>
      <c r="U18" s="7">
        <v>43602</v>
      </c>
      <c r="V18" s="8">
        <v>9901908019</v>
      </c>
      <c r="W18" s="9" t="s">
        <v>89</v>
      </c>
      <c r="X18" s="8" t="s">
        <v>35</v>
      </c>
      <c r="Y18" s="9" t="s">
        <v>36</v>
      </c>
      <c r="Z18" s="8" t="s">
        <v>57</v>
      </c>
      <c r="AA18" s="9" t="s">
        <v>58</v>
      </c>
      <c r="AB18" s="10">
        <f t="shared" si="0"/>
        <v>0.28489520000000002</v>
      </c>
    </row>
    <row r="19" spans="1:28" s="4" customFormat="1" ht="13" x14ac:dyDescent="0.3">
      <c r="A19" s="5">
        <v>185</v>
      </c>
      <c r="B19" s="6" t="s">
        <v>37</v>
      </c>
      <c r="C19" s="7">
        <v>43603</v>
      </c>
      <c r="D19" s="8">
        <v>5</v>
      </c>
      <c r="E19" s="9" t="s">
        <v>42</v>
      </c>
      <c r="F19" s="8" t="s">
        <v>43</v>
      </c>
      <c r="G19" s="9" t="s">
        <v>44</v>
      </c>
      <c r="H19" s="8" t="str">
        <f>"000062"</f>
        <v>000062</v>
      </c>
      <c r="I19" s="7">
        <v>43540</v>
      </c>
      <c r="J19" s="8" t="str">
        <f>"000046"</f>
        <v>000046</v>
      </c>
      <c r="K19" s="7">
        <v>43547</v>
      </c>
      <c r="L19" s="8" t="str">
        <f>"000142"</f>
        <v>000142</v>
      </c>
      <c r="M19" s="7">
        <v>43547</v>
      </c>
      <c r="N19" s="8">
        <v>17</v>
      </c>
      <c r="O19" s="8" t="str">
        <f>"000687"</f>
        <v>000687</v>
      </c>
      <c r="P19" s="7">
        <v>43571</v>
      </c>
      <c r="Q19" s="10">
        <v>49.128500000000003</v>
      </c>
      <c r="R19" s="10">
        <v>2.0735000000000001</v>
      </c>
      <c r="S19" s="10">
        <v>47.055</v>
      </c>
      <c r="T19" s="8">
        <v>51</v>
      </c>
      <c r="U19" s="7">
        <v>43603</v>
      </c>
      <c r="V19" s="8">
        <v>9886775766</v>
      </c>
      <c r="W19" s="9" t="s">
        <v>45</v>
      </c>
      <c r="X19" s="8" t="s">
        <v>46</v>
      </c>
      <c r="Y19" s="9" t="s">
        <v>47</v>
      </c>
      <c r="Z19" s="8" t="s">
        <v>48</v>
      </c>
      <c r="AA19" s="9" t="s">
        <v>49</v>
      </c>
      <c r="AB19" s="10">
        <f t="shared" si="0"/>
        <v>0.49128500000000003</v>
      </c>
    </row>
    <row r="20" spans="1:28" s="4" customFormat="1" ht="13" x14ac:dyDescent="0.3">
      <c r="A20" s="5">
        <v>186</v>
      </c>
      <c r="B20" s="6" t="s">
        <v>37</v>
      </c>
      <c r="C20" s="7">
        <v>43606</v>
      </c>
      <c r="D20" s="8">
        <v>5</v>
      </c>
      <c r="E20" s="9" t="s">
        <v>42</v>
      </c>
      <c r="F20" s="8" t="s">
        <v>50</v>
      </c>
      <c r="G20" s="9" t="s">
        <v>51</v>
      </c>
      <c r="H20" s="8" t="str">
        <f>"000038"</f>
        <v>000038</v>
      </c>
      <c r="I20" s="7">
        <v>42804</v>
      </c>
      <c r="J20" s="8" t="str">
        <f>"000027"</f>
        <v>000027</v>
      </c>
      <c r="K20" s="7">
        <v>43111</v>
      </c>
      <c r="L20" s="8" t="str">
        <f>"000027"</f>
        <v>000027</v>
      </c>
      <c r="M20" s="7">
        <v>43111</v>
      </c>
      <c r="N20" s="8">
        <v>16</v>
      </c>
      <c r="O20" s="8" t="str">
        <f>"000337"</f>
        <v>000337</v>
      </c>
      <c r="P20" s="7">
        <v>43566</v>
      </c>
      <c r="Q20" s="10">
        <v>10.74098</v>
      </c>
      <c r="R20" s="10">
        <v>1.23424</v>
      </c>
      <c r="S20" s="10">
        <v>9.5067400000000006</v>
      </c>
      <c r="T20" s="8">
        <v>55</v>
      </c>
      <c r="U20" s="7">
        <v>43606</v>
      </c>
      <c r="V20" s="8">
        <v>9060589769</v>
      </c>
      <c r="W20" s="9" t="s">
        <v>29</v>
      </c>
      <c r="X20" s="8" t="s">
        <v>30</v>
      </c>
      <c r="Y20" s="9" t="s">
        <v>31</v>
      </c>
      <c r="Z20" s="8" t="s">
        <v>32</v>
      </c>
      <c r="AA20" s="9" t="s">
        <v>33</v>
      </c>
      <c r="AB20" s="10">
        <f t="shared" si="0"/>
        <v>0.1074098</v>
      </c>
    </row>
    <row r="21" spans="1:28" s="4" customFormat="1" ht="13" x14ac:dyDescent="0.3">
      <c r="A21" s="5">
        <v>187</v>
      </c>
      <c r="B21" s="6" t="s">
        <v>37</v>
      </c>
      <c r="C21" s="7">
        <v>43609</v>
      </c>
      <c r="D21" s="8">
        <v>5</v>
      </c>
      <c r="E21" s="9" t="s">
        <v>42</v>
      </c>
      <c r="F21" s="8" t="s">
        <v>90</v>
      </c>
      <c r="G21" s="9" t="s">
        <v>91</v>
      </c>
      <c r="H21" s="8" t="str">
        <f>"000218"</f>
        <v>000218</v>
      </c>
      <c r="I21" s="7">
        <v>42416</v>
      </c>
      <c r="J21" s="8" t="str">
        <f>"000015"</f>
        <v>000015</v>
      </c>
      <c r="K21" s="7">
        <v>43036</v>
      </c>
      <c r="L21" s="8" t="str">
        <f>"000034"</f>
        <v>000034</v>
      </c>
      <c r="M21" s="7">
        <v>43038</v>
      </c>
      <c r="N21" s="8">
        <v>16</v>
      </c>
      <c r="O21" s="8" t="str">
        <f>"001940"</f>
        <v>001940</v>
      </c>
      <c r="P21" s="7">
        <v>43607</v>
      </c>
      <c r="Q21" s="10">
        <v>46.378889999999998</v>
      </c>
      <c r="R21" s="10">
        <v>3.5423</v>
      </c>
      <c r="S21" s="10">
        <v>42.836590000000001</v>
      </c>
      <c r="T21" s="8">
        <v>57</v>
      </c>
      <c r="U21" s="7">
        <v>43609</v>
      </c>
      <c r="V21" s="8">
        <v>9448083246</v>
      </c>
      <c r="W21" s="9" t="s">
        <v>92</v>
      </c>
      <c r="X21" s="8" t="s">
        <v>38</v>
      </c>
      <c r="Y21" s="9" t="s">
        <v>39</v>
      </c>
      <c r="Z21" s="8" t="s">
        <v>57</v>
      </c>
      <c r="AA21" s="9" t="s">
        <v>58</v>
      </c>
      <c r="AB21" s="10">
        <f t="shared" si="0"/>
        <v>0.4637889</v>
      </c>
    </row>
    <row r="22" spans="1:28" s="4" customFormat="1" ht="13" x14ac:dyDescent="0.3">
      <c r="A22" s="5">
        <v>188</v>
      </c>
      <c r="B22" s="6" t="s">
        <v>37</v>
      </c>
      <c r="C22" s="7">
        <v>43609</v>
      </c>
      <c r="D22" s="8">
        <v>5</v>
      </c>
      <c r="E22" s="9" t="s">
        <v>42</v>
      </c>
      <c r="F22" s="8" t="s">
        <v>93</v>
      </c>
      <c r="G22" s="9" t="s">
        <v>94</v>
      </c>
      <c r="H22" s="8" t="str">
        <f>"00216 "</f>
        <v xml:space="preserve">00216 </v>
      </c>
      <c r="I22" s="7">
        <v>42416</v>
      </c>
      <c r="J22" s="8" t="str">
        <f>"000016"</f>
        <v>000016</v>
      </c>
      <c r="K22" s="7">
        <v>43036</v>
      </c>
      <c r="L22" s="8" t="str">
        <f>"000035"</f>
        <v>000035</v>
      </c>
      <c r="M22" s="7">
        <v>43038</v>
      </c>
      <c r="N22" s="8">
        <v>16</v>
      </c>
      <c r="O22" s="8" t="str">
        <f>"001941"</f>
        <v>001941</v>
      </c>
      <c r="P22" s="7">
        <v>43607</v>
      </c>
      <c r="Q22" s="10">
        <v>41.65</v>
      </c>
      <c r="R22" s="10">
        <v>3.18235</v>
      </c>
      <c r="S22" s="10">
        <v>38.467649999999999</v>
      </c>
      <c r="T22" s="8">
        <v>57</v>
      </c>
      <c r="U22" s="7">
        <v>43609</v>
      </c>
      <c r="V22" s="8">
        <v>9448083246</v>
      </c>
      <c r="W22" s="9" t="s">
        <v>92</v>
      </c>
      <c r="X22" s="8" t="s">
        <v>38</v>
      </c>
      <c r="Y22" s="9" t="s">
        <v>39</v>
      </c>
      <c r="Z22" s="8" t="s">
        <v>57</v>
      </c>
      <c r="AA22" s="9" t="s">
        <v>58</v>
      </c>
      <c r="AB22" s="10">
        <f t="shared" si="0"/>
        <v>0.41649999999999998</v>
      </c>
    </row>
    <row r="23" spans="1:28" s="4" customFormat="1" ht="13" x14ac:dyDescent="0.3">
      <c r="A23" s="5">
        <v>189</v>
      </c>
      <c r="B23" s="6" t="s">
        <v>37</v>
      </c>
      <c r="C23" s="7">
        <v>43609</v>
      </c>
      <c r="D23" s="8">
        <v>5</v>
      </c>
      <c r="E23" s="9" t="s">
        <v>42</v>
      </c>
      <c r="F23" s="8" t="s">
        <v>95</v>
      </c>
      <c r="G23" s="9" t="s">
        <v>96</v>
      </c>
      <c r="H23" s="8" t="str">
        <f>"000009"</f>
        <v>000009</v>
      </c>
      <c r="I23" s="7">
        <v>43017</v>
      </c>
      <c r="J23" s="8" t="str">
        <f>"000017"</f>
        <v>000017</v>
      </c>
      <c r="K23" s="7">
        <v>43036</v>
      </c>
      <c r="L23" s="8" t="str">
        <f>"000036"</f>
        <v>000036</v>
      </c>
      <c r="M23" s="7">
        <v>43038</v>
      </c>
      <c r="N23" s="8">
        <v>17</v>
      </c>
      <c r="O23" s="8" t="str">
        <f>"001983"</f>
        <v>001983</v>
      </c>
      <c r="P23" s="7">
        <v>43607</v>
      </c>
      <c r="Q23" s="10">
        <v>27.64958</v>
      </c>
      <c r="R23" s="10">
        <v>1.4654400000000001</v>
      </c>
      <c r="S23" s="10">
        <v>26.184139999999999</v>
      </c>
      <c r="T23" s="8">
        <v>57</v>
      </c>
      <c r="U23" s="7">
        <v>43609</v>
      </c>
      <c r="V23" s="8">
        <v>9448083246</v>
      </c>
      <c r="W23" s="9" t="s">
        <v>97</v>
      </c>
      <c r="X23" s="8" t="s">
        <v>35</v>
      </c>
      <c r="Y23" s="9" t="s">
        <v>36</v>
      </c>
      <c r="Z23" s="8" t="s">
        <v>57</v>
      </c>
      <c r="AA23" s="9" t="s">
        <v>58</v>
      </c>
      <c r="AB23" s="10">
        <f t="shared" si="0"/>
        <v>0.27649580000000001</v>
      </c>
    </row>
    <row r="24" spans="1:28" s="4" customFormat="1" ht="13" x14ac:dyDescent="0.3">
      <c r="A24" s="5">
        <v>190</v>
      </c>
      <c r="B24" s="6" t="s">
        <v>34</v>
      </c>
      <c r="C24" s="7">
        <v>43628</v>
      </c>
      <c r="D24" s="8">
        <v>5</v>
      </c>
      <c r="E24" s="9" t="s">
        <v>42</v>
      </c>
      <c r="F24" s="8" t="s">
        <v>80</v>
      </c>
      <c r="G24" s="9" t="s">
        <v>81</v>
      </c>
      <c r="H24" s="8" t="str">
        <f>"000055"</f>
        <v>000055</v>
      </c>
      <c r="I24" s="7">
        <v>42861</v>
      </c>
      <c r="J24" s="8" t="str">
        <f>"000023"</f>
        <v>000023</v>
      </c>
      <c r="K24" s="7">
        <v>43080</v>
      </c>
      <c r="L24" s="8" t="str">
        <f>"000066"</f>
        <v>000066</v>
      </c>
      <c r="M24" s="7">
        <v>43089</v>
      </c>
      <c r="N24" s="8">
        <v>17</v>
      </c>
      <c r="O24" s="8" t="str">
        <f>"002619"</f>
        <v>002619</v>
      </c>
      <c r="P24" s="7">
        <v>43627</v>
      </c>
      <c r="Q24" s="10">
        <v>28.536370000000002</v>
      </c>
      <c r="R24" s="10">
        <v>1.73786</v>
      </c>
      <c r="S24" s="10">
        <v>26.79851</v>
      </c>
      <c r="T24" s="8">
        <v>76</v>
      </c>
      <c r="U24" s="7">
        <v>43628</v>
      </c>
      <c r="V24" s="8">
        <v>9901908019</v>
      </c>
      <c r="W24" s="9" t="s">
        <v>82</v>
      </c>
      <c r="X24" s="8" t="s">
        <v>35</v>
      </c>
      <c r="Y24" s="9" t="s">
        <v>36</v>
      </c>
      <c r="Z24" s="8" t="s">
        <v>57</v>
      </c>
      <c r="AA24" s="9" t="s">
        <v>58</v>
      </c>
      <c r="AB24" s="10">
        <v>0.2853637</v>
      </c>
    </row>
    <row r="25" spans="1:28" s="4" customFormat="1" ht="13" x14ac:dyDescent="0.3">
      <c r="A25" s="5">
        <v>191</v>
      </c>
      <c r="B25" s="6" t="s">
        <v>34</v>
      </c>
      <c r="C25" s="7">
        <v>43636</v>
      </c>
      <c r="D25" s="8">
        <v>5</v>
      </c>
      <c r="E25" s="9" t="s">
        <v>42</v>
      </c>
      <c r="F25" s="8" t="s">
        <v>83</v>
      </c>
      <c r="G25" s="9" t="s">
        <v>84</v>
      </c>
      <c r="H25" s="8" t="str">
        <f>"000001"</f>
        <v>000001</v>
      </c>
      <c r="I25" s="7">
        <v>42970</v>
      </c>
      <c r="J25" s="8" t="str">
        <f>"000001"</f>
        <v>000001</v>
      </c>
      <c r="K25" s="7">
        <v>42983</v>
      </c>
      <c r="L25" s="8" t="str">
        <f>"000006"</f>
        <v>000006</v>
      </c>
      <c r="M25" s="7">
        <v>42985</v>
      </c>
      <c r="N25" s="8">
        <v>16</v>
      </c>
      <c r="O25" s="8" t="str">
        <f>"002796"</f>
        <v>002796</v>
      </c>
      <c r="P25" s="7">
        <v>43633</v>
      </c>
      <c r="Q25" s="10">
        <v>18.239789999999999</v>
      </c>
      <c r="R25" s="10">
        <v>1.01522</v>
      </c>
      <c r="S25" s="10">
        <v>17.22457</v>
      </c>
      <c r="T25" s="8">
        <v>89</v>
      </c>
      <c r="U25" s="7">
        <v>43636</v>
      </c>
      <c r="V25" s="8">
        <v>9448334159</v>
      </c>
      <c r="W25" s="9" t="s">
        <v>85</v>
      </c>
      <c r="X25" s="8" t="s">
        <v>38</v>
      </c>
      <c r="Y25" s="9" t="s">
        <v>39</v>
      </c>
      <c r="Z25" s="8" t="s">
        <v>57</v>
      </c>
      <c r="AA25" s="9" t="s">
        <v>58</v>
      </c>
      <c r="AB25" s="10">
        <v>0.1823979</v>
      </c>
    </row>
    <row r="26" spans="1:28" s="4" customFormat="1" ht="13" x14ac:dyDescent="0.3">
      <c r="A26" s="5">
        <v>192</v>
      </c>
      <c r="B26" s="6" t="s">
        <v>98</v>
      </c>
      <c r="C26" s="7">
        <v>43647</v>
      </c>
      <c r="D26" s="8">
        <v>5</v>
      </c>
      <c r="E26" s="9" t="s">
        <v>42</v>
      </c>
      <c r="F26" s="8" t="s">
        <v>99</v>
      </c>
      <c r="G26" s="11" t="s">
        <v>100</v>
      </c>
      <c r="H26" s="8" t="str">
        <f>"000011"</f>
        <v>000011</v>
      </c>
      <c r="I26" s="7">
        <v>43112</v>
      </c>
      <c r="J26" s="8" t="str">
        <f>"000032"</f>
        <v>000032</v>
      </c>
      <c r="K26" s="7">
        <v>43112</v>
      </c>
      <c r="L26" s="8" t="str">
        <f>"000032"</f>
        <v>000032</v>
      </c>
      <c r="M26" s="7">
        <v>43112</v>
      </c>
      <c r="N26" s="8">
        <v>17</v>
      </c>
      <c r="O26" s="8" t="str">
        <f>"003077"</f>
        <v>003077</v>
      </c>
      <c r="P26" s="7">
        <v>43640</v>
      </c>
      <c r="Q26" s="12">
        <v>2.56169</v>
      </c>
      <c r="R26" s="12">
        <v>0.10503999999999999</v>
      </c>
      <c r="S26" s="12">
        <v>2.4566499999999998</v>
      </c>
      <c r="T26" s="8">
        <v>96</v>
      </c>
      <c r="U26" s="7">
        <v>43647</v>
      </c>
      <c r="V26" s="8">
        <v>9341423529</v>
      </c>
      <c r="W26" s="11" t="s">
        <v>101</v>
      </c>
      <c r="X26" s="8" t="s">
        <v>102</v>
      </c>
      <c r="Y26" s="11" t="s">
        <v>103</v>
      </c>
      <c r="Z26" s="8" t="s">
        <v>32</v>
      </c>
      <c r="AA26" s="11" t="s">
        <v>33</v>
      </c>
      <c r="AB26" s="12">
        <f t="shared" ref="AB26:AB37" si="1">Q26/100</f>
        <v>2.5616900000000001E-2</v>
      </c>
    </row>
    <row r="27" spans="1:28" s="4" customFormat="1" ht="13" x14ac:dyDescent="0.3">
      <c r="A27" s="5">
        <v>193</v>
      </c>
      <c r="B27" s="6" t="s">
        <v>98</v>
      </c>
      <c r="C27" s="7">
        <v>43647</v>
      </c>
      <c r="D27" s="8">
        <v>5</v>
      </c>
      <c r="E27" s="9" t="s">
        <v>42</v>
      </c>
      <c r="F27" s="8" t="s">
        <v>104</v>
      </c>
      <c r="G27" s="11" t="s">
        <v>105</v>
      </c>
      <c r="H27" s="8" t="str">
        <f>"000224"</f>
        <v>000224</v>
      </c>
      <c r="I27" s="7">
        <v>42426</v>
      </c>
      <c r="J27" s="8" t="str">
        <f>"000024"</f>
        <v>000024</v>
      </c>
      <c r="K27" s="7">
        <v>43098</v>
      </c>
      <c r="L27" s="8" t="str">
        <f>"000078"</f>
        <v>000078</v>
      </c>
      <c r="M27" s="7">
        <v>43101</v>
      </c>
      <c r="N27" s="8">
        <v>16</v>
      </c>
      <c r="O27" s="8" t="str">
        <f>"003139"</f>
        <v>003139</v>
      </c>
      <c r="P27" s="7">
        <v>43643</v>
      </c>
      <c r="Q27" s="12">
        <v>27.832080000000001</v>
      </c>
      <c r="R27" s="12">
        <v>0.85045999999999999</v>
      </c>
      <c r="S27" s="12">
        <v>26.981619999999999</v>
      </c>
      <c r="T27" s="8">
        <v>96</v>
      </c>
      <c r="U27" s="7">
        <v>43647</v>
      </c>
      <c r="V27" s="8">
        <v>8904465835</v>
      </c>
      <c r="W27" s="11" t="s">
        <v>106</v>
      </c>
      <c r="X27" s="8" t="s">
        <v>38</v>
      </c>
      <c r="Y27" s="11" t="s">
        <v>39</v>
      </c>
      <c r="Z27" s="8" t="s">
        <v>57</v>
      </c>
      <c r="AA27" s="11" t="s">
        <v>58</v>
      </c>
      <c r="AB27" s="12">
        <f t="shared" si="1"/>
        <v>0.27832080000000003</v>
      </c>
    </row>
    <row r="28" spans="1:28" s="4" customFormat="1" ht="13" x14ac:dyDescent="0.3">
      <c r="A28" s="5">
        <v>194</v>
      </c>
      <c r="B28" s="6" t="s">
        <v>98</v>
      </c>
      <c r="C28" s="7">
        <v>43654</v>
      </c>
      <c r="D28" s="8">
        <v>5</v>
      </c>
      <c r="E28" s="9" t="s">
        <v>42</v>
      </c>
      <c r="F28" s="8" t="s">
        <v>50</v>
      </c>
      <c r="G28" s="11" t="s">
        <v>51</v>
      </c>
      <c r="H28" s="8" t="str">
        <f>"000038"</f>
        <v>000038</v>
      </c>
      <c r="I28" s="7">
        <v>42804</v>
      </c>
      <c r="J28" s="8" t="str">
        <f>"000027"</f>
        <v>000027</v>
      </c>
      <c r="K28" s="7">
        <v>43111</v>
      </c>
      <c r="L28" s="8" t="str">
        <f>"000027"</f>
        <v>000027</v>
      </c>
      <c r="M28" s="7">
        <v>43111</v>
      </c>
      <c r="N28" s="8">
        <v>16</v>
      </c>
      <c r="O28" s="8" t="str">
        <f>"000337"</f>
        <v>000337</v>
      </c>
      <c r="P28" s="7">
        <v>43566</v>
      </c>
      <c r="Q28" s="12">
        <v>23.922499999999999</v>
      </c>
      <c r="R28" s="12">
        <v>2.6041599999999998</v>
      </c>
      <c r="S28" s="12">
        <v>21.318339999999999</v>
      </c>
      <c r="T28" s="8">
        <v>109</v>
      </c>
      <c r="U28" s="7">
        <v>43654</v>
      </c>
      <c r="V28" s="8">
        <v>9060589769</v>
      </c>
      <c r="W28" s="11" t="s">
        <v>29</v>
      </c>
      <c r="X28" s="8" t="s">
        <v>30</v>
      </c>
      <c r="Y28" s="11" t="s">
        <v>31</v>
      </c>
      <c r="Z28" s="8" t="s">
        <v>32</v>
      </c>
      <c r="AA28" s="11" t="s">
        <v>33</v>
      </c>
      <c r="AB28" s="12">
        <f t="shared" si="1"/>
        <v>0.23922499999999999</v>
      </c>
    </row>
    <row r="29" spans="1:28" s="4" customFormat="1" ht="13" x14ac:dyDescent="0.3">
      <c r="A29" s="5">
        <v>195</v>
      </c>
      <c r="B29" s="6" t="s">
        <v>98</v>
      </c>
      <c r="C29" s="7">
        <v>43669</v>
      </c>
      <c r="D29" s="8">
        <v>5</v>
      </c>
      <c r="E29" s="9" t="s">
        <v>42</v>
      </c>
      <c r="F29" s="8" t="s">
        <v>107</v>
      </c>
      <c r="G29" s="11" t="s">
        <v>108</v>
      </c>
      <c r="H29" s="8" t="str">
        <f>"000057"</f>
        <v>000057</v>
      </c>
      <c r="I29" s="7">
        <v>42544</v>
      </c>
      <c r="J29" s="8" t="str">
        <f>"000028"</f>
        <v>000028</v>
      </c>
      <c r="K29" s="7">
        <v>43112</v>
      </c>
      <c r="L29" s="8" t="str">
        <f>"000084"</f>
        <v>000084</v>
      </c>
      <c r="M29" s="7">
        <v>43112</v>
      </c>
      <c r="N29" s="8">
        <v>16</v>
      </c>
      <c r="O29" s="8" t="str">
        <f>"003724"</f>
        <v>003724</v>
      </c>
      <c r="P29" s="7">
        <v>43664</v>
      </c>
      <c r="Q29" s="12">
        <v>24.468</v>
      </c>
      <c r="R29" s="12">
        <v>0.80006999999999995</v>
      </c>
      <c r="S29" s="12">
        <v>23.667929999999998</v>
      </c>
      <c r="T29" s="8">
        <v>122</v>
      </c>
      <c r="U29" s="7">
        <v>43669</v>
      </c>
      <c r="V29" s="8">
        <v>9902126909</v>
      </c>
      <c r="W29" s="11" t="s">
        <v>109</v>
      </c>
      <c r="X29" s="8" t="s">
        <v>38</v>
      </c>
      <c r="Y29" s="11" t="s">
        <v>39</v>
      </c>
      <c r="Z29" s="8" t="s">
        <v>57</v>
      </c>
      <c r="AA29" s="11" t="s">
        <v>58</v>
      </c>
      <c r="AB29" s="12">
        <f t="shared" si="1"/>
        <v>0.24468000000000001</v>
      </c>
    </row>
    <row r="30" spans="1:28" s="4" customFormat="1" ht="13" x14ac:dyDescent="0.3">
      <c r="A30" s="5">
        <v>196</v>
      </c>
      <c r="B30" s="6" t="s">
        <v>98</v>
      </c>
      <c r="C30" s="7">
        <v>43677</v>
      </c>
      <c r="D30" s="8">
        <v>5</v>
      </c>
      <c r="E30" s="9" t="s">
        <v>42</v>
      </c>
      <c r="F30" s="8" t="s">
        <v>110</v>
      </c>
      <c r="G30" s="11" t="s">
        <v>111</v>
      </c>
      <c r="H30" s="8" t="str">
        <f>"000058"</f>
        <v>000058</v>
      </c>
      <c r="I30" s="7">
        <v>43118</v>
      </c>
      <c r="J30" s="8" t="str">
        <f>"000040"</f>
        <v>000040</v>
      </c>
      <c r="K30" s="7">
        <v>43154</v>
      </c>
      <c r="L30" s="8" t="str">
        <f>"000121"</f>
        <v>000121</v>
      </c>
      <c r="M30" s="7">
        <v>43159</v>
      </c>
      <c r="N30" s="8">
        <v>18</v>
      </c>
      <c r="O30" s="8" t="str">
        <f>"004033"</f>
        <v>004033</v>
      </c>
      <c r="P30" s="7">
        <v>43672</v>
      </c>
      <c r="Q30" s="12">
        <v>9.9969900000000003</v>
      </c>
      <c r="R30" s="12">
        <v>0.80976000000000004</v>
      </c>
      <c r="S30" s="12">
        <v>9.1872299999999996</v>
      </c>
      <c r="T30" s="8">
        <v>135</v>
      </c>
      <c r="U30" s="7">
        <v>43677</v>
      </c>
      <c r="V30" s="8">
        <v>9449863065</v>
      </c>
      <c r="W30" s="11" t="s">
        <v>71</v>
      </c>
      <c r="X30" s="8" t="s">
        <v>112</v>
      </c>
      <c r="Y30" s="11" t="s">
        <v>113</v>
      </c>
      <c r="Z30" s="8" t="s">
        <v>57</v>
      </c>
      <c r="AA30" s="11" t="s">
        <v>58</v>
      </c>
      <c r="AB30" s="12">
        <f t="shared" si="1"/>
        <v>9.99699E-2</v>
      </c>
    </row>
    <row r="31" spans="1:28" s="4" customFormat="1" ht="13" x14ac:dyDescent="0.3">
      <c r="A31" s="5">
        <v>197</v>
      </c>
      <c r="B31" s="6" t="s">
        <v>114</v>
      </c>
      <c r="C31" s="7">
        <v>43679</v>
      </c>
      <c r="D31" s="8">
        <v>5</v>
      </c>
      <c r="E31" s="9" t="s">
        <v>42</v>
      </c>
      <c r="F31" s="8" t="s">
        <v>115</v>
      </c>
      <c r="G31" s="11" t="s">
        <v>116</v>
      </c>
      <c r="H31" s="8" t="str">
        <f>"000062"</f>
        <v>000062</v>
      </c>
      <c r="I31" s="7">
        <v>43305</v>
      </c>
      <c r="J31" s="8" t="str">
        <f>"000007"</f>
        <v>000007</v>
      </c>
      <c r="K31" s="7">
        <v>43607</v>
      </c>
      <c r="L31" s="8" t="str">
        <f>"000027"</f>
        <v>000027</v>
      </c>
      <c r="M31" s="7">
        <v>43607</v>
      </c>
      <c r="N31" s="8">
        <v>16</v>
      </c>
      <c r="O31" s="8" t="str">
        <f>"004123"</f>
        <v>004123</v>
      </c>
      <c r="P31" s="7">
        <v>43676</v>
      </c>
      <c r="Q31" s="12">
        <v>49.467480000000002</v>
      </c>
      <c r="R31" s="12">
        <v>2.9311400000000001</v>
      </c>
      <c r="S31" s="12">
        <v>46.536340000000003</v>
      </c>
      <c r="T31" s="8">
        <v>139</v>
      </c>
      <c r="U31" s="7">
        <v>43679</v>
      </c>
      <c r="V31" s="8">
        <v>7090229572</v>
      </c>
      <c r="W31" s="11" t="s">
        <v>117</v>
      </c>
      <c r="X31" s="8" t="s">
        <v>38</v>
      </c>
      <c r="Y31" s="11" t="s">
        <v>39</v>
      </c>
      <c r="Z31" s="8" t="s">
        <v>57</v>
      </c>
      <c r="AA31" s="11" t="s">
        <v>58</v>
      </c>
      <c r="AB31" s="12">
        <f t="shared" si="1"/>
        <v>0.49467480000000003</v>
      </c>
    </row>
    <row r="32" spans="1:28" s="4" customFormat="1" ht="13" x14ac:dyDescent="0.3">
      <c r="A32" s="5">
        <v>198</v>
      </c>
      <c r="B32" s="6" t="s">
        <v>114</v>
      </c>
      <c r="C32" s="7">
        <v>43696</v>
      </c>
      <c r="D32" s="8">
        <v>5</v>
      </c>
      <c r="E32" s="9" t="s">
        <v>42</v>
      </c>
      <c r="F32" s="8" t="s">
        <v>118</v>
      </c>
      <c r="G32" s="11" t="s">
        <v>119</v>
      </c>
      <c r="H32" s="8" t="str">
        <f>"000202"</f>
        <v>000202</v>
      </c>
      <c r="I32" s="7">
        <v>42405</v>
      </c>
      <c r="J32" s="8" t="str">
        <f>"000046"</f>
        <v>000046</v>
      </c>
      <c r="K32" s="7">
        <v>43155</v>
      </c>
      <c r="L32" s="8" t="str">
        <f>"000134"</f>
        <v>000134</v>
      </c>
      <c r="M32" s="7">
        <v>43171</v>
      </c>
      <c r="N32" s="8">
        <v>16</v>
      </c>
      <c r="O32" s="8" t="str">
        <f>"004500"</f>
        <v>004500</v>
      </c>
      <c r="P32" s="7">
        <v>43691</v>
      </c>
      <c r="Q32" s="12">
        <v>36.97475</v>
      </c>
      <c r="R32" s="12">
        <v>1.3193699999999999</v>
      </c>
      <c r="S32" s="12">
        <v>35.655380000000001</v>
      </c>
      <c r="T32" s="8">
        <v>158</v>
      </c>
      <c r="U32" s="7">
        <v>43696</v>
      </c>
      <c r="V32" s="8">
        <v>7760405418</v>
      </c>
      <c r="W32" s="11" t="s">
        <v>120</v>
      </c>
      <c r="X32" s="8" t="s">
        <v>38</v>
      </c>
      <c r="Y32" s="11" t="s">
        <v>39</v>
      </c>
      <c r="Z32" s="8" t="s">
        <v>57</v>
      </c>
      <c r="AA32" s="11" t="s">
        <v>58</v>
      </c>
      <c r="AB32" s="12">
        <f t="shared" si="1"/>
        <v>0.36974750000000001</v>
      </c>
    </row>
    <row r="33" spans="1:28" s="4" customFormat="1" ht="13" x14ac:dyDescent="0.3">
      <c r="A33" s="5">
        <v>199</v>
      </c>
      <c r="B33" s="6" t="s">
        <v>114</v>
      </c>
      <c r="C33" s="7">
        <v>43705</v>
      </c>
      <c r="D33" s="8">
        <v>5</v>
      </c>
      <c r="E33" s="9" t="s">
        <v>42</v>
      </c>
      <c r="F33" s="8" t="s">
        <v>121</v>
      </c>
      <c r="G33" s="11" t="s">
        <v>122</v>
      </c>
      <c r="H33" s="8" t="str">
        <f>"000070"</f>
        <v>000070</v>
      </c>
      <c r="I33" s="7">
        <v>43678</v>
      </c>
      <c r="J33" s="8" t="str">
        <f>"000022"</f>
        <v>000022</v>
      </c>
      <c r="K33" s="7">
        <v>43684</v>
      </c>
      <c r="L33" s="8" t="str">
        <f>"000067"</f>
        <v>000067</v>
      </c>
      <c r="M33" s="7">
        <v>43691</v>
      </c>
      <c r="N33" s="8">
        <v>19</v>
      </c>
      <c r="O33" s="8" t="str">
        <f>"004734"</f>
        <v>004734</v>
      </c>
      <c r="P33" s="7">
        <v>43699</v>
      </c>
      <c r="Q33" s="12">
        <v>99.537000000000006</v>
      </c>
      <c r="R33" s="12">
        <v>4.5147899999999996</v>
      </c>
      <c r="S33" s="12">
        <v>95.022210000000001</v>
      </c>
      <c r="T33" s="8">
        <v>168</v>
      </c>
      <c r="U33" s="7">
        <v>43705</v>
      </c>
      <c r="V33" s="8">
        <v>9341705164</v>
      </c>
      <c r="W33" s="11" t="s">
        <v>123</v>
      </c>
      <c r="X33" s="8" t="s">
        <v>124</v>
      </c>
      <c r="Y33" s="11" t="s">
        <v>125</v>
      </c>
      <c r="Z33" s="8" t="s">
        <v>57</v>
      </c>
      <c r="AA33" s="11" t="s">
        <v>58</v>
      </c>
      <c r="AB33" s="12">
        <f t="shared" si="1"/>
        <v>0.99537000000000009</v>
      </c>
    </row>
    <row r="34" spans="1:28" s="4" customFormat="1" ht="13" x14ac:dyDescent="0.3">
      <c r="A34" s="5">
        <v>200</v>
      </c>
      <c r="B34" s="6" t="s">
        <v>126</v>
      </c>
      <c r="C34" s="7">
        <v>43721</v>
      </c>
      <c r="D34" s="8">
        <v>5</v>
      </c>
      <c r="E34" s="9" t="s">
        <v>42</v>
      </c>
      <c r="F34" s="8" t="s">
        <v>127</v>
      </c>
      <c r="G34" s="11" t="s">
        <v>128</v>
      </c>
      <c r="H34" s="8" t="str">
        <f>"000055"</f>
        <v>000055</v>
      </c>
      <c r="I34" s="7">
        <v>43180</v>
      </c>
      <c r="J34" s="8" t="str">
        <f>"000033"</f>
        <v>000033</v>
      </c>
      <c r="K34" s="7">
        <v>43642</v>
      </c>
      <c r="L34" s="8" t="str">
        <f>"000033"</f>
        <v>000033</v>
      </c>
      <c r="M34" s="7">
        <v>43643</v>
      </c>
      <c r="N34" s="8">
        <v>18</v>
      </c>
      <c r="O34" s="8" t="str">
        <f>"005046"</f>
        <v>005046</v>
      </c>
      <c r="P34" s="7">
        <v>43720</v>
      </c>
      <c r="Q34" s="12">
        <v>17.075369999999999</v>
      </c>
      <c r="R34" s="12">
        <v>1.6880200000000001</v>
      </c>
      <c r="S34" s="12">
        <v>15.38735</v>
      </c>
      <c r="T34" s="8">
        <v>185</v>
      </c>
      <c r="U34" s="7">
        <v>43721</v>
      </c>
      <c r="V34" s="8">
        <v>9449863064</v>
      </c>
      <c r="W34" s="11" t="s">
        <v>129</v>
      </c>
      <c r="X34" s="8" t="s">
        <v>130</v>
      </c>
      <c r="Y34" s="11" t="s">
        <v>131</v>
      </c>
      <c r="Z34" s="8" t="s">
        <v>132</v>
      </c>
      <c r="AA34" s="11" t="s">
        <v>133</v>
      </c>
      <c r="AB34" s="12">
        <f t="shared" si="1"/>
        <v>0.17075370000000001</v>
      </c>
    </row>
    <row r="35" spans="1:28" s="4" customFormat="1" ht="13" x14ac:dyDescent="0.3">
      <c r="A35" s="5">
        <v>201</v>
      </c>
      <c r="B35" s="6" t="s">
        <v>126</v>
      </c>
      <c r="C35" s="7">
        <v>43729</v>
      </c>
      <c r="D35" s="8">
        <v>5</v>
      </c>
      <c r="E35" s="9" t="s">
        <v>42</v>
      </c>
      <c r="F35" s="8" t="s">
        <v>134</v>
      </c>
      <c r="G35" s="11" t="s">
        <v>135</v>
      </c>
      <c r="H35" s="8" t="str">
        <f>"000016"</f>
        <v>000016</v>
      </c>
      <c r="I35" s="7">
        <v>42893</v>
      </c>
      <c r="J35" s="8" t="str">
        <f>"000040"</f>
        <v>000040</v>
      </c>
      <c r="K35" s="7">
        <v>43140</v>
      </c>
      <c r="L35" s="8" t="str">
        <f>"000049"</f>
        <v>000049</v>
      </c>
      <c r="M35" s="7">
        <v>43140</v>
      </c>
      <c r="N35" s="8">
        <v>17</v>
      </c>
      <c r="O35" s="8" t="str">
        <f>"005009"</f>
        <v>005009</v>
      </c>
      <c r="P35" s="7">
        <v>43719</v>
      </c>
      <c r="Q35" s="12">
        <v>5.55</v>
      </c>
      <c r="R35" s="12">
        <v>0.55500000000000005</v>
      </c>
      <c r="S35" s="12">
        <v>4.9950000000000001</v>
      </c>
      <c r="T35" s="8">
        <v>194</v>
      </c>
      <c r="U35" s="7">
        <v>43729</v>
      </c>
      <c r="V35" s="8">
        <v>8792620231</v>
      </c>
      <c r="W35" s="11" t="s">
        <v>136</v>
      </c>
      <c r="X35" s="8" t="s">
        <v>137</v>
      </c>
      <c r="Y35" s="11" t="s">
        <v>138</v>
      </c>
      <c r="Z35" s="8" t="s">
        <v>132</v>
      </c>
      <c r="AA35" s="11" t="s">
        <v>133</v>
      </c>
      <c r="AB35" s="12">
        <f t="shared" si="1"/>
        <v>5.5500000000000001E-2</v>
      </c>
    </row>
    <row r="36" spans="1:28" s="4" customFormat="1" ht="13" x14ac:dyDescent="0.3">
      <c r="A36" s="5">
        <v>202</v>
      </c>
      <c r="B36" s="6" t="s">
        <v>126</v>
      </c>
      <c r="C36" s="7">
        <v>43729</v>
      </c>
      <c r="D36" s="8">
        <v>5</v>
      </c>
      <c r="E36" s="9" t="s">
        <v>42</v>
      </c>
      <c r="F36" s="8" t="s">
        <v>139</v>
      </c>
      <c r="G36" s="11" t="s">
        <v>140</v>
      </c>
      <c r="H36" s="8" t="str">
        <f>"000015"</f>
        <v>000015</v>
      </c>
      <c r="I36" s="7">
        <v>42893</v>
      </c>
      <c r="J36" s="8" t="str">
        <f>"000041"</f>
        <v>000041</v>
      </c>
      <c r="K36" s="7">
        <v>43140</v>
      </c>
      <c r="L36" s="8" t="str">
        <f>"000050"</f>
        <v>000050</v>
      </c>
      <c r="M36" s="7">
        <v>43140</v>
      </c>
      <c r="N36" s="8">
        <v>17</v>
      </c>
      <c r="O36" s="8" t="str">
        <f>"005010"</f>
        <v>005010</v>
      </c>
      <c r="P36" s="7">
        <v>43719</v>
      </c>
      <c r="Q36" s="12">
        <v>3.6</v>
      </c>
      <c r="R36" s="12">
        <v>0.36</v>
      </c>
      <c r="S36" s="12">
        <v>3.24</v>
      </c>
      <c r="T36" s="8">
        <v>194</v>
      </c>
      <c r="U36" s="7">
        <v>43729</v>
      </c>
      <c r="V36" s="8">
        <v>8792620231</v>
      </c>
      <c r="W36" s="11" t="s">
        <v>141</v>
      </c>
      <c r="X36" s="8" t="s">
        <v>137</v>
      </c>
      <c r="Y36" s="11" t="s">
        <v>138</v>
      </c>
      <c r="Z36" s="8" t="s">
        <v>132</v>
      </c>
      <c r="AA36" s="11" t="s">
        <v>133</v>
      </c>
      <c r="AB36" s="12">
        <f t="shared" si="1"/>
        <v>3.6000000000000004E-2</v>
      </c>
    </row>
    <row r="37" spans="1:28" s="4" customFormat="1" ht="13" x14ac:dyDescent="0.3">
      <c r="A37" s="5">
        <v>203</v>
      </c>
      <c r="B37" s="6" t="s">
        <v>126</v>
      </c>
      <c r="C37" s="7">
        <v>43732</v>
      </c>
      <c r="D37" s="8">
        <v>5</v>
      </c>
      <c r="E37" s="9" t="s">
        <v>42</v>
      </c>
      <c r="F37" s="8" t="s">
        <v>142</v>
      </c>
      <c r="G37" s="11" t="s">
        <v>143</v>
      </c>
      <c r="H37" s="8" t="str">
        <f>"000005"</f>
        <v>000005</v>
      </c>
      <c r="I37" s="7">
        <v>43062</v>
      </c>
      <c r="J37" s="8" t="str">
        <f>"000005"</f>
        <v>000005</v>
      </c>
      <c r="K37" s="7">
        <v>43202</v>
      </c>
      <c r="L37" s="8" t="str">
        <f>"000005"</f>
        <v>000005</v>
      </c>
      <c r="M37" s="7">
        <v>43202</v>
      </c>
      <c r="N37" s="8">
        <v>18</v>
      </c>
      <c r="O37" s="8" t="str">
        <f>"005328"</f>
        <v>005328</v>
      </c>
      <c r="P37" s="7">
        <v>43729</v>
      </c>
      <c r="Q37" s="12">
        <v>9.9988399999999995</v>
      </c>
      <c r="R37" s="12">
        <v>1.25986</v>
      </c>
      <c r="S37" s="12">
        <v>8.7389799999999997</v>
      </c>
      <c r="T37" s="8">
        <v>199</v>
      </c>
      <c r="U37" s="7">
        <v>43732</v>
      </c>
      <c r="V37" s="8">
        <v>9449863065</v>
      </c>
      <c r="W37" s="11" t="s">
        <v>144</v>
      </c>
      <c r="X37" s="8" t="s">
        <v>62</v>
      </c>
      <c r="Y37" s="11" t="s">
        <v>63</v>
      </c>
      <c r="Z37" s="8" t="s">
        <v>32</v>
      </c>
      <c r="AA37" s="11" t="s">
        <v>33</v>
      </c>
      <c r="AB37" s="12">
        <f t="shared" si="1"/>
        <v>9.9988399999999991E-2</v>
      </c>
    </row>
    <row r="38" spans="1:28" s="4" customFormat="1" ht="13" x14ac:dyDescent="0.3">
      <c r="A38" s="5">
        <v>204</v>
      </c>
      <c r="B38" s="6" t="s">
        <v>145</v>
      </c>
      <c r="C38" s="7">
        <v>43748</v>
      </c>
      <c r="D38" s="5">
        <v>5</v>
      </c>
      <c r="E38" s="9" t="s">
        <v>42</v>
      </c>
      <c r="F38" s="8" t="s">
        <v>146</v>
      </c>
      <c r="G38" s="9" t="s">
        <v>147</v>
      </c>
      <c r="H38" s="8" t="str">
        <f>"000072"</f>
        <v>000072</v>
      </c>
      <c r="I38" s="7">
        <v>42886</v>
      </c>
      <c r="J38" s="8" t="str">
        <f>"000020"</f>
        <v>000020</v>
      </c>
      <c r="K38" s="7">
        <v>43349</v>
      </c>
      <c r="L38" s="8" t="str">
        <f>"000091"</f>
        <v>000091</v>
      </c>
      <c r="M38" s="7">
        <v>43355</v>
      </c>
      <c r="N38" s="8">
        <v>17</v>
      </c>
      <c r="O38" s="8" t="str">
        <f>"005634"</f>
        <v>005634</v>
      </c>
      <c r="P38" s="7">
        <v>43741</v>
      </c>
      <c r="Q38" s="10">
        <v>26.18281</v>
      </c>
      <c r="R38" s="10">
        <v>0.62109000000000003</v>
      </c>
      <c r="S38" s="10">
        <v>25.561720000000001</v>
      </c>
      <c r="T38" s="8">
        <v>13</v>
      </c>
      <c r="U38" s="7">
        <v>43748</v>
      </c>
      <c r="V38" s="8">
        <v>9844445446</v>
      </c>
      <c r="W38" s="9" t="s">
        <v>148</v>
      </c>
      <c r="X38" s="8" t="s">
        <v>149</v>
      </c>
      <c r="Y38" s="9" t="s">
        <v>150</v>
      </c>
      <c r="Z38" s="8" t="s">
        <v>57</v>
      </c>
      <c r="AA38" s="9" t="s">
        <v>58</v>
      </c>
      <c r="AB38" s="10">
        <v>0.26182810000000001</v>
      </c>
    </row>
    <row r="39" spans="1:28" s="4" customFormat="1" ht="13" x14ac:dyDescent="0.3">
      <c r="A39" s="5">
        <v>205</v>
      </c>
      <c r="B39" s="6" t="s">
        <v>145</v>
      </c>
      <c r="C39" s="7">
        <v>43748</v>
      </c>
      <c r="D39" s="5">
        <v>5</v>
      </c>
      <c r="E39" s="9" t="s">
        <v>42</v>
      </c>
      <c r="F39" s="8" t="s">
        <v>151</v>
      </c>
      <c r="G39" s="9" t="s">
        <v>152</v>
      </c>
      <c r="H39" s="8" t="str">
        <f>"000210"</f>
        <v>000210</v>
      </c>
      <c r="I39" s="7">
        <v>42802</v>
      </c>
      <c r="J39" s="8" t="str">
        <f>"000019"</f>
        <v>000019</v>
      </c>
      <c r="K39" s="7">
        <v>43349</v>
      </c>
      <c r="L39" s="8" t="str">
        <f>"000090"</f>
        <v>000090</v>
      </c>
      <c r="M39" s="7">
        <v>43355</v>
      </c>
      <c r="N39" s="8">
        <v>17</v>
      </c>
      <c r="O39" s="8" t="str">
        <f>"005685"</f>
        <v>005685</v>
      </c>
      <c r="P39" s="7">
        <v>43748</v>
      </c>
      <c r="Q39" s="10">
        <v>15.66151</v>
      </c>
      <c r="R39" s="10">
        <v>0.52800999999999998</v>
      </c>
      <c r="S39" s="10">
        <v>15.1335</v>
      </c>
      <c r="T39" s="8">
        <v>13</v>
      </c>
      <c r="U39" s="7">
        <v>43748</v>
      </c>
      <c r="V39" s="8">
        <v>9448358166</v>
      </c>
      <c r="W39" s="9" t="s">
        <v>153</v>
      </c>
      <c r="X39" s="8" t="s">
        <v>35</v>
      </c>
      <c r="Y39" s="9" t="s">
        <v>36</v>
      </c>
      <c r="Z39" s="8" t="s">
        <v>57</v>
      </c>
      <c r="AA39" s="9" t="s">
        <v>58</v>
      </c>
      <c r="AB39" s="10">
        <v>0.15661510000000001</v>
      </c>
    </row>
    <row r="40" spans="1:28" s="4" customFormat="1" ht="13" x14ac:dyDescent="0.3">
      <c r="A40" s="5">
        <v>206</v>
      </c>
      <c r="B40" s="6" t="s">
        <v>145</v>
      </c>
      <c r="C40" s="7">
        <v>43748</v>
      </c>
      <c r="D40" s="5">
        <v>5</v>
      </c>
      <c r="E40" s="9" t="s">
        <v>42</v>
      </c>
      <c r="F40" s="8" t="s">
        <v>50</v>
      </c>
      <c r="G40" s="9" t="s">
        <v>51</v>
      </c>
      <c r="H40" s="8" t="str">
        <f>"000038"</f>
        <v>000038</v>
      </c>
      <c r="I40" s="7">
        <v>42804</v>
      </c>
      <c r="J40" s="8" t="str">
        <f>"000027"</f>
        <v>000027</v>
      </c>
      <c r="K40" s="7">
        <v>43111</v>
      </c>
      <c r="L40" s="8" t="str">
        <f>"000027"</f>
        <v>000027</v>
      </c>
      <c r="M40" s="7">
        <v>43111</v>
      </c>
      <c r="N40" s="8">
        <v>16</v>
      </c>
      <c r="O40" s="8" t="str">
        <f>"000337"</f>
        <v>000337</v>
      </c>
      <c r="P40" s="7">
        <v>43566</v>
      </c>
      <c r="Q40" s="10">
        <v>14.74301</v>
      </c>
      <c r="R40" s="10">
        <v>1.7038899999999999</v>
      </c>
      <c r="S40" s="10">
        <v>13.03912</v>
      </c>
      <c r="T40" s="8">
        <v>13</v>
      </c>
      <c r="U40" s="7">
        <v>43748</v>
      </c>
      <c r="V40" s="8">
        <v>9060589769</v>
      </c>
      <c r="W40" s="9" t="s">
        <v>29</v>
      </c>
      <c r="X40" s="8" t="s">
        <v>30</v>
      </c>
      <c r="Y40" s="9" t="s">
        <v>31</v>
      </c>
      <c r="Z40" s="8" t="s">
        <v>32</v>
      </c>
      <c r="AA40" s="9" t="s">
        <v>33</v>
      </c>
      <c r="AB40" s="10">
        <v>0.14743010000000001</v>
      </c>
    </row>
    <row r="41" spans="1:28" s="4" customFormat="1" ht="13" x14ac:dyDescent="0.3">
      <c r="A41" s="5">
        <v>207</v>
      </c>
      <c r="B41" s="6" t="s">
        <v>145</v>
      </c>
      <c r="C41" s="7">
        <v>43762</v>
      </c>
      <c r="D41" s="5">
        <v>5</v>
      </c>
      <c r="E41" s="9" t="s">
        <v>42</v>
      </c>
      <c r="F41" s="8" t="s">
        <v>154</v>
      </c>
      <c r="G41" s="9" t="s">
        <v>155</v>
      </c>
      <c r="H41" s="8" t="str">
        <f>"000126"</f>
        <v>000126</v>
      </c>
      <c r="I41" s="7">
        <v>43185</v>
      </c>
      <c r="J41" s="8" t="str">
        <f>"000023"</f>
        <v>000023</v>
      </c>
      <c r="K41" s="7">
        <v>43218</v>
      </c>
      <c r="L41" s="8" t="str">
        <f>"000023"</f>
        <v>000023</v>
      </c>
      <c r="M41" s="7">
        <v>43218</v>
      </c>
      <c r="N41" s="8">
        <v>18</v>
      </c>
      <c r="O41" s="8" t="str">
        <f>"005857"</f>
        <v>005857</v>
      </c>
      <c r="P41" s="7">
        <v>43756</v>
      </c>
      <c r="Q41" s="10">
        <v>138.31514000000001</v>
      </c>
      <c r="R41" s="10">
        <v>4.7165499999999998</v>
      </c>
      <c r="S41" s="10">
        <v>133.59859</v>
      </c>
      <c r="T41" s="8">
        <v>13</v>
      </c>
      <c r="U41" s="7">
        <v>43762</v>
      </c>
      <c r="V41" s="8">
        <v>9448218799</v>
      </c>
      <c r="W41" s="9" t="s">
        <v>156</v>
      </c>
      <c r="X41" s="8" t="s">
        <v>137</v>
      </c>
      <c r="Y41" s="9" t="s">
        <v>138</v>
      </c>
      <c r="Z41" s="8" t="s">
        <v>132</v>
      </c>
      <c r="AA41" s="9" t="s">
        <v>133</v>
      </c>
      <c r="AB41" s="10">
        <v>1.3831514</v>
      </c>
    </row>
    <row r="42" spans="1:28" s="4" customFormat="1" ht="13" x14ac:dyDescent="0.3">
      <c r="A42" s="5">
        <v>208</v>
      </c>
      <c r="B42" s="6" t="s">
        <v>157</v>
      </c>
      <c r="C42" s="7">
        <v>43777</v>
      </c>
      <c r="D42" s="5">
        <v>5</v>
      </c>
      <c r="E42" s="9" t="s">
        <v>42</v>
      </c>
      <c r="F42" s="8" t="s">
        <v>158</v>
      </c>
      <c r="G42" s="9" t="s">
        <v>159</v>
      </c>
      <c r="H42" s="8" t="str">
        <f>"000060"</f>
        <v>000060</v>
      </c>
      <c r="I42" s="7">
        <v>43180</v>
      </c>
      <c r="J42" s="8" t="str">
        <f>"000096"</f>
        <v>000096</v>
      </c>
      <c r="K42" s="7">
        <v>43361</v>
      </c>
      <c r="L42" s="8" t="str">
        <f>"000096"</f>
        <v>000096</v>
      </c>
      <c r="M42" s="7">
        <v>43361</v>
      </c>
      <c r="N42" s="8">
        <v>17</v>
      </c>
      <c r="O42" s="8" t="str">
        <f>"006107"</f>
        <v>006107</v>
      </c>
      <c r="P42" s="7">
        <v>43775</v>
      </c>
      <c r="Q42" s="10">
        <v>133.78697</v>
      </c>
      <c r="R42" s="10">
        <v>4.0002300000000002</v>
      </c>
      <c r="S42" s="10">
        <v>129.78674000000001</v>
      </c>
      <c r="T42" s="8">
        <v>13</v>
      </c>
      <c r="U42" s="7">
        <v>43777</v>
      </c>
      <c r="V42" s="8">
        <v>7760405418</v>
      </c>
      <c r="W42" s="9" t="s">
        <v>160</v>
      </c>
      <c r="X42" s="8" t="s">
        <v>161</v>
      </c>
      <c r="Y42" s="9" t="s">
        <v>162</v>
      </c>
      <c r="Z42" s="8" t="s">
        <v>132</v>
      </c>
      <c r="AA42" s="9" t="s">
        <v>133</v>
      </c>
      <c r="AB42" s="10">
        <v>1.3378696999999999</v>
      </c>
    </row>
    <row r="43" spans="1:28" s="4" customFormat="1" ht="13" x14ac:dyDescent="0.3">
      <c r="A43" s="5">
        <v>209</v>
      </c>
      <c r="B43" s="6" t="s">
        <v>163</v>
      </c>
      <c r="C43" s="7">
        <v>43801</v>
      </c>
      <c r="D43" s="5">
        <v>5</v>
      </c>
      <c r="E43" s="9" t="s">
        <v>42</v>
      </c>
      <c r="F43" s="8" t="s">
        <v>164</v>
      </c>
      <c r="G43" s="9" t="s">
        <v>165</v>
      </c>
      <c r="H43" s="8" t="str">
        <f>"000014"</f>
        <v>000014</v>
      </c>
      <c r="I43" s="7">
        <v>43595</v>
      </c>
      <c r="J43" s="8" t="str">
        <f>"000038"</f>
        <v>000038</v>
      </c>
      <c r="K43" s="7">
        <v>43739</v>
      </c>
      <c r="L43" s="8" t="str">
        <f>"000140"</f>
        <v>000140</v>
      </c>
      <c r="M43" s="7">
        <v>43755</v>
      </c>
      <c r="N43" s="8">
        <v>19</v>
      </c>
      <c r="O43" s="8" t="str">
        <f>"006460"</f>
        <v>006460</v>
      </c>
      <c r="P43" s="7">
        <v>43797</v>
      </c>
      <c r="Q43" s="10">
        <v>2.04339</v>
      </c>
      <c r="R43" s="10">
        <v>0.10088</v>
      </c>
      <c r="S43" s="10">
        <v>1.94251</v>
      </c>
      <c r="T43" s="8">
        <v>13</v>
      </c>
      <c r="U43" s="7">
        <v>43801</v>
      </c>
      <c r="V43" s="8">
        <v>9035640286</v>
      </c>
      <c r="W43" s="9" t="s">
        <v>166</v>
      </c>
      <c r="X43" s="8" t="s">
        <v>167</v>
      </c>
      <c r="Y43" s="9" t="s">
        <v>168</v>
      </c>
      <c r="Z43" s="8" t="s">
        <v>57</v>
      </c>
      <c r="AA43" s="9" t="s">
        <v>58</v>
      </c>
      <c r="AB43" s="10">
        <v>2.0433900000000001E-2</v>
      </c>
    </row>
    <row r="44" spans="1:28" s="4" customFormat="1" ht="13" x14ac:dyDescent="0.3">
      <c r="A44" s="5">
        <v>210</v>
      </c>
      <c r="B44" s="6" t="s">
        <v>163</v>
      </c>
      <c r="C44" s="7">
        <v>43801</v>
      </c>
      <c r="D44" s="5">
        <v>5</v>
      </c>
      <c r="E44" s="9" t="s">
        <v>42</v>
      </c>
      <c r="F44" s="8" t="s">
        <v>169</v>
      </c>
      <c r="G44" s="9" t="s">
        <v>170</v>
      </c>
      <c r="H44" s="8" t="str">
        <f>"000015"</f>
        <v>000015</v>
      </c>
      <c r="I44" s="7">
        <v>43595</v>
      </c>
      <c r="J44" s="8" t="str">
        <f>"000037"</f>
        <v>000037</v>
      </c>
      <c r="K44" s="7">
        <v>43739</v>
      </c>
      <c r="L44" s="8" t="str">
        <f>"000138"</f>
        <v>000138</v>
      </c>
      <c r="M44" s="7">
        <v>43755</v>
      </c>
      <c r="N44" s="8">
        <v>19</v>
      </c>
      <c r="O44" s="8" t="str">
        <f>"006461"</f>
        <v>006461</v>
      </c>
      <c r="P44" s="7">
        <v>43797</v>
      </c>
      <c r="Q44" s="10">
        <v>2.1829999999999998</v>
      </c>
      <c r="R44" s="10">
        <v>0.13317999999999999</v>
      </c>
      <c r="S44" s="10">
        <v>2.04982</v>
      </c>
      <c r="T44" s="8">
        <v>13</v>
      </c>
      <c r="U44" s="7">
        <v>43801</v>
      </c>
      <c r="V44" s="8">
        <v>9035640286</v>
      </c>
      <c r="W44" s="9" t="s">
        <v>166</v>
      </c>
      <c r="X44" s="8" t="s">
        <v>171</v>
      </c>
      <c r="Y44" s="9" t="s">
        <v>172</v>
      </c>
      <c r="Z44" s="8" t="s">
        <v>57</v>
      </c>
      <c r="AA44" s="9" t="s">
        <v>58</v>
      </c>
      <c r="AB44" s="10">
        <v>2.1829999999999999E-2</v>
      </c>
    </row>
    <row r="45" spans="1:28" s="4" customFormat="1" ht="13" x14ac:dyDescent="0.3">
      <c r="A45" s="5">
        <v>211</v>
      </c>
      <c r="B45" s="6" t="s">
        <v>163</v>
      </c>
      <c r="C45" s="7">
        <v>43806</v>
      </c>
      <c r="D45" s="5">
        <v>5</v>
      </c>
      <c r="E45" s="9" t="s">
        <v>42</v>
      </c>
      <c r="F45" s="8" t="s">
        <v>173</v>
      </c>
      <c r="G45" s="9" t="s">
        <v>174</v>
      </c>
      <c r="H45" s="8" t="str">
        <f>"000013"</f>
        <v>000013</v>
      </c>
      <c r="I45" s="7">
        <v>43595</v>
      </c>
      <c r="J45" s="8" t="str">
        <f>"000041"</f>
        <v>000041</v>
      </c>
      <c r="K45" s="7">
        <v>43739</v>
      </c>
      <c r="L45" s="8" t="str">
        <f>"000146"</f>
        <v>000146</v>
      </c>
      <c r="M45" s="7">
        <v>43763</v>
      </c>
      <c r="N45" s="8">
        <v>19</v>
      </c>
      <c r="O45" s="8" t="str">
        <f>"006540"</f>
        <v>006540</v>
      </c>
      <c r="P45" s="7">
        <v>43802</v>
      </c>
      <c r="Q45" s="10">
        <v>6.1619999999999999</v>
      </c>
      <c r="R45" s="10">
        <v>0.27323999999999998</v>
      </c>
      <c r="S45" s="10">
        <v>5.8887600000000004</v>
      </c>
      <c r="T45" s="8">
        <v>13</v>
      </c>
      <c r="U45" s="7">
        <v>43806</v>
      </c>
      <c r="V45" s="8">
        <v>9035640286</v>
      </c>
      <c r="W45" s="9" t="s">
        <v>166</v>
      </c>
      <c r="X45" s="8" t="s">
        <v>175</v>
      </c>
      <c r="Y45" s="9" t="s">
        <v>176</v>
      </c>
      <c r="Z45" s="8" t="s">
        <v>57</v>
      </c>
      <c r="AA45" s="9" t="s">
        <v>58</v>
      </c>
      <c r="AB45" s="10">
        <v>6.1620000000000001E-2</v>
      </c>
    </row>
    <row r="46" spans="1:28" s="4" customFormat="1" ht="13" x14ac:dyDescent="0.3">
      <c r="A46" s="5">
        <v>212</v>
      </c>
      <c r="B46" s="6" t="s">
        <v>163</v>
      </c>
      <c r="C46" s="7">
        <v>43806</v>
      </c>
      <c r="D46" s="5">
        <v>5</v>
      </c>
      <c r="E46" s="9" t="s">
        <v>42</v>
      </c>
      <c r="F46" s="8" t="s">
        <v>177</v>
      </c>
      <c r="G46" s="9" t="s">
        <v>178</v>
      </c>
      <c r="H46" s="8" t="str">
        <f>"000045"</f>
        <v>000045</v>
      </c>
      <c r="I46" s="7">
        <v>43655</v>
      </c>
      <c r="J46" s="8" t="str">
        <f>"000040"</f>
        <v>000040</v>
      </c>
      <c r="K46" s="7">
        <v>43739</v>
      </c>
      <c r="L46" s="8" t="str">
        <f>"000147"</f>
        <v>000147</v>
      </c>
      <c r="M46" s="7">
        <v>43763</v>
      </c>
      <c r="N46" s="8">
        <v>19</v>
      </c>
      <c r="O46" s="8" t="str">
        <f>"006553"</f>
        <v>006553</v>
      </c>
      <c r="P46" s="7">
        <v>43802</v>
      </c>
      <c r="Q46" s="10">
        <v>7.0049999999999999</v>
      </c>
      <c r="R46" s="10">
        <v>0.69918000000000002</v>
      </c>
      <c r="S46" s="10">
        <v>6.3058199999999998</v>
      </c>
      <c r="T46" s="8">
        <v>13</v>
      </c>
      <c r="U46" s="7">
        <v>43806</v>
      </c>
      <c r="V46" s="8">
        <v>9844874999</v>
      </c>
      <c r="W46" s="9" t="s">
        <v>179</v>
      </c>
      <c r="X46" s="8" t="s">
        <v>180</v>
      </c>
      <c r="Y46" s="9" t="s">
        <v>181</v>
      </c>
      <c r="Z46" s="8" t="s">
        <v>57</v>
      </c>
      <c r="AA46" s="9" t="s">
        <v>58</v>
      </c>
      <c r="AB46" s="10">
        <v>7.0050000000000001E-2</v>
      </c>
    </row>
    <row r="47" spans="1:28" s="4" customFormat="1" ht="13" x14ac:dyDescent="0.3">
      <c r="A47" s="5">
        <v>213</v>
      </c>
      <c r="B47" s="6" t="s">
        <v>163</v>
      </c>
      <c r="C47" s="7">
        <v>43806</v>
      </c>
      <c r="D47" s="5">
        <v>5</v>
      </c>
      <c r="E47" s="9" t="s">
        <v>42</v>
      </c>
      <c r="F47" s="8" t="s">
        <v>182</v>
      </c>
      <c r="G47" s="9" t="s">
        <v>183</v>
      </c>
      <c r="H47" s="8" t="str">
        <f>"000016"</f>
        <v>000016</v>
      </c>
      <c r="I47" s="7">
        <v>43595</v>
      </c>
      <c r="J47" s="8" t="str">
        <f>"000039"</f>
        <v>000039</v>
      </c>
      <c r="K47" s="7">
        <v>43739</v>
      </c>
      <c r="L47" s="8" t="str">
        <f>"000139"</f>
        <v>000139</v>
      </c>
      <c r="M47" s="7">
        <v>43755</v>
      </c>
      <c r="N47" s="8">
        <v>19</v>
      </c>
      <c r="O47" s="8" t="str">
        <f>"006557"</f>
        <v>006557</v>
      </c>
      <c r="P47" s="7">
        <v>43802</v>
      </c>
      <c r="Q47" s="10">
        <v>2.0843400000000001</v>
      </c>
      <c r="R47" s="10">
        <v>8.8980000000000004E-2</v>
      </c>
      <c r="S47" s="10">
        <v>1.99536</v>
      </c>
      <c r="T47" s="8">
        <v>13</v>
      </c>
      <c r="U47" s="7">
        <v>43806</v>
      </c>
      <c r="V47" s="8">
        <v>9035640286</v>
      </c>
      <c r="W47" s="9" t="s">
        <v>166</v>
      </c>
      <c r="X47" s="8" t="s">
        <v>184</v>
      </c>
      <c r="Y47" s="9" t="s">
        <v>185</v>
      </c>
      <c r="Z47" s="8" t="s">
        <v>57</v>
      </c>
      <c r="AA47" s="9" t="s">
        <v>58</v>
      </c>
      <c r="AB47" s="10">
        <v>2.0843400000000002E-2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2020-01-28T11:14:54Z</dcterms:modified>
</cp:coreProperties>
</file>