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5" i="1" l="1"/>
  <c r="L35" i="1"/>
  <c r="J35" i="1"/>
  <c r="H35" i="1"/>
  <c r="O34" i="1"/>
  <c r="L34" i="1"/>
  <c r="J34" i="1"/>
  <c r="H34" i="1"/>
  <c r="O33" i="1"/>
  <c r="L33" i="1"/>
  <c r="J33" i="1"/>
  <c r="H33" i="1"/>
  <c r="O32" i="1"/>
  <c r="L32" i="1"/>
  <c r="J32" i="1"/>
  <c r="H32" i="1"/>
  <c r="O31" i="1"/>
  <c r="L31" i="1"/>
  <c r="J31" i="1"/>
  <c r="H31" i="1"/>
  <c r="O30" i="1"/>
  <c r="L30" i="1"/>
  <c r="J30" i="1"/>
  <c r="H30" i="1"/>
  <c r="O29" i="1"/>
  <c r="L29" i="1"/>
  <c r="J29" i="1"/>
  <c r="H29" i="1"/>
  <c r="O28" i="1"/>
  <c r="L28" i="1"/>
  <c r="J28" i="1"/>
  <c r="H28" i="1"/>
  <c r="O27" i="1"/>
  <c r="L27" i="1"/>
  <c r="J27" i="1"/>
  <c r="H27" i="1"/>
  <c r="O26" i="1"/>
  <c r="L26" i="1"/>
  <c r="J26" i="1"/>
  <c r="H26" i="1"/>
  <c r="AB25" i="1"/>
  <c r="O25" i="1"/>
  <c r="L25" i="1"/>
  <c r="J25" i="1"/>
  <c r="H25" i="1"/>
  <c r="AB24"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O15" i="1"/>
  <c r="L15" i="1"/>
  <c r="J15" i="1"/>
  <c r="H15" i="1"/>
  <c r="O14" i="1"/>
  <c r="L14" i="1"/>
  <c r="J14" i="1"/>
  <c r="H14"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<sst xmlns="http://schemas.openxmlformats.org/spreadsheetml/2006/main" count="334" uniqueCount="141">
  <si>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</si>
  <si>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</si>
  <si>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</si>
  <si>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</si>
  <si>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</si>
  <si>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</si>
  <si>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</si>
  <si>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</si>
  <si>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</si>
  <si>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</si>
  <si>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</si>
  <si>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</si>
  <si>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</si>
  <si>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</si>
  <si>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</si>
  <si>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</si>
  <si>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</si>
  <si>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</si>
  <si>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</si>
  <si>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</si>
  <si>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</si>
  <si>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</si>
  <si>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</si>
  <si>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</si>
  <si>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</si>
  <si>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</si>
  <si>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</si>
  <si>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</si>
  <si>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</si>
  <si>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P0300</t>
  </si>
  <si>
    <t>M and R to Street Lights - Replacement of Burnt Bulbs etc. (Package)</t>
  </si>
  <si>
    <t>June</t>
  </si>
  <si>
    <t>P1771</t>
  </si>
  <si>
    <t>Zone Works - POW Works</t>
  </si>
  <si>
    <t>May</t>
  </si>
  <si>
    <t>P3106</t>
  </si>
  <si>
    <t>Nagarothana Works</t>
  </si>
  <si>
    <t>KRIDL</t>
  </si>
  <si>
    <t>P3110</t>
  </si>
  <si>
    <t>14th Finance Commission Grant Works</t>
  </si>
  <si>
    <t>P2415</t>
  </si>
  <si>
    <t>Reserve fund for TandF Committee</t>
  </si>
  <si>
    <t>P3165</t>
  </si>
  <si>
    <t>Special Development works in ward No.11, 41, 27, 43, 52, 57 and 9 (each ward Rs.200.00 lakhs)</t>
  </si>
  <si>
    <t>ddo365</t>
  </si>
  <si>
    <t xml:space="preserve"> Executive Engineer Electrical Mahadevapura Zone</t>
  </si>
  <si>
    <t>K R Puram</t>
  </si>
  <si>
    <t>052-16-000014</t>
  </si>
  <si>
    <t>Shuttle Badminton court in ward no 52</t>
  </si>
  <si>
    <t>Sri. Santhosh D M</t>
  </si>
  <si>
    <t>ddo362</t>
  </si>
  <si>
    <t xml:space="preserve"> Assistant Executive Engineer K R Pura Mahadevapura Zone</t>
  </si>
  <si>
    <t>052-17-000015</t>
  </si>
  <si>
    <t>Construction of Toilet block at Govt. school in K R Puram in ward no 52</t>
  </si>
  <si>
    <t>Devaraj D.K.</t>
  </si>
  <si>
    <t>P3173</t>
  </si>
  <si>
    <t>Special Development works in ward No.124, 185, 98, 188, 10, 14, 16, 30, 28, 37, 42, 130, 159, 65, 66, 73, 79, 80, 90, 95, 94, 89, 108, 111, 115, 97, 105, 131, 133, 119, 125, 137, 143, 124, 158, 138, 83, 166, 182, 129, 165, 161, 04, 88, 27, 31, 32, 52, 44, 26, 07, 183, 178, 187 (Rs.100 lakhs per ward)</t>
  </si>
  <si>
    <t>052-13-000017</t>
  </si>
  <si>
    <t>Emergency rain damage works to SWD and covering slabs from Krishna theator road 1st cross road towards police quartress in K R Pura ward No 52</t>
  </si>
  <si>
    <t>Sri. S Veena</t>
  </si>
  <si>
    <t>052-16-000001</t>
  </si>
  <si>
    <t>Operation and maintanance of street light fittings in ward no 52 K R Pura Mahadevapura Zone M09</t>
  </si>
  <si>
    <t>M/S KARTHIK ELECTRICAL</t>
  </si>
  <si>
    <t>052-17-000038</t>
  </si>
  <si>
    <t>Providing and fixing of metallic sign boards  in ward no 52 K R Puram</t>
  </si>
  <si>
    <t>Sri Venugopal B.C</t>
  </si>
  <si>
    <t>052-17-000052</t>
  </si>
  <si>
    <t>Engagement of Gangman and Hiring of Tractor Tippers for cleaning and Maintenance of road side drains and other cleaning works in  works in ward no 52</t>
  </si>
  <si>
    <t>K.C. Veeranna</t>
  </si>
  <si>
    <t>Engagement of Gangman and Hiring of Tractor Tippers for cleaning and Maintenance of road side drains and other cleaning works in works in ward no 52</t>
  </si>
  <si>
    <t>052-17-000049</t>
  </si>
  <si>
    <t xml:space="preserve">Providing drinking water works in Ward No 52 in K.R.Puram Division </t>
  </si>
  <si>
    <t>052-17-000039</t>
  </si>
  <si>
    <t>Improvements to Vijinapura play ground in K R Puram ward in K R Puram Constituency</t>
  </si>
  <si>
    <t>Sri. M Venkatachalapathy</t>
  </si>
  <si>
    <t>July</t>
  </si>
  <si>
    <t>052-17-000029</t>
  </si>
  <si>
    <t>Developmental works in Bhattarahalli and surrounding Layouts in K R Pura ward No 52</t>
  </si>
  <si>
    <t xml:space="preserve">Sri. G.V Somashekar </t>
  </si>
  <si>
    <t>052-17-000032</t>
  </si>
  <si>
    <t>Development of Bridges in K R Pura ward No 52</t>
  </si>
  <si>
    <t>Sri Santhosh D M</t>
  </si>
  <si>
    <t>August</t>
  </si>
  <si>
    <t>052-17-000034</t>
  </si>
  <si>
    <t>Improvements of roads and CC drains in Nisarga Layout in ward no 52 K R Puram</t>
  </si>
  <si>
    <t>R. Ramesh Babu</t>
  </si>
  <si>
    <t>052-17-000035</t>
  </si>
  <si>
    <t>Improvements of roads and CC drains in Muniyappa Layout in ward no 52 K R Puram</t>
  </si>
  <si>
    <t>M Venkatachalapathi</t>
  </si>
  <si>
    <t>September</t>
  </si>
  <si>
    <t>052-17-000037</t>
  </si>
  <si>
    <t>Improvements of roads and CC drains in Kempalakkamma Layout in ward no 52 K R Puram</t>
  </si>
  <si>
    <t>052-17-000036</t>
  </si>
  <si>
    <t>Improvements of roads and CC drains in ITI Compound road in ward no 52 K R Puram</t>
  </si>
  <si>
    <t>Gopala Gowda .V</t>
  </si>
  <si>
    <t>052-18-000017</t>
  </si>
  <si>
    <t>Providing LED Street lights to K R Puram Area in ward no 52</t>
  </si>
  <si>
    <t xml:space="preserve">M/S.KARTHIK ELELCTRICALS, PROP.SRI.C.KANTHARAJU </t>
  </si>
  <si>
    <t>P2178</t>
  </si>
  <si>
    <t>Works sanctioned by Dy. Mayor</t>
  </si>
  <si>
    <t>October</t>
  </si>
  <si>
    <t>052-17-000026</t>
  </si>
  <si>
    <t>Providing Tractor and Gangman in K R Pura ward No 52</t>
  </si>
  <si>
    <t>Sri Sri K.C. Veeranna (Sri.V. Contractors)</t>
  </si>
  <si>
    <t>November</t>
  </si>
  <si>
    <t>December</t>
  </si>
  <si>
    <t>052-19-000011</t>
  </si>
  <si>
    <t>Public toilet maintenance works in ward no 52 K R Puram</t>
  </si>
  <si>
    <t xml:space="preserve">Devaraj.D K </t>
  </si>
  <si>
    <t>P3294</t>
  </si>
  <si>
    <t>14th Finance Commission Works - General Public ToiletandSeptage Maintenance</t>
  </si>
  <si>
    <t>052-19-000012</t>
  </si>
  <si>
    <t>Providing UGD works in ward no 52 K R Puram</t>
  </si>
  <si>
    <t>Hanumanthaiah</t>
  </si>
  <si>
    <t>P3295</t>
  </si>
  <si>
    <t>14th Finance Commission Works - UGD Works</t>
  </si>
  <si>
    <t>052-19-000010</t>
  </si>
  <si>
    <t>Providing Drinking water facilities in ward no 52 K R Puram</t>
  </si>
  <si>
    <t>P3293</t>
  </si>
  <si>
    <t>14th Finance Commission Works - Drinking Water</t>
  </si>
  <si>
    <t>052-19-000009</t>
  </si>
  <si>
    <t>Maintenance of Community Property works in ward no 52 K R Puram</t>
  </si>
  <si>
    <t>P3292</t>
  </si>
  <si>
    <t>14th Finance Commission Works - Community Property Maintenance (including Parks)</t>
  </si>
  <si>
    <t>052-19-000013</t>
  </si>
  <si>
    <t>Maintenance of roads and footpath in ward no 52 K R Puram</t>
  </si>
  <si>
    <t>Raghu P</t>
  </si>
  <si>
    <t>P3296</t>
  </si>
  <si>
    <t>14th Finance Commission Works - Road and Footpath Maintenance</t>
  </si>
  <si>
    <t>052-19-000014</t>
  </si>
  <si>
    <t>Maintenance Strom water drain works in ward no 52 K R Puram</t>
  </si>
  <si>
    <t>Nagesh.G.K</t>
  </si>
  <si>
    <t>P3297</t>
  </si>
  <si>
    <t>14th Finance Commission Grants - SWD Works</t>
  </si>
  <si>
    <t>052-19-000008</t>
  </si>
  <si>
    <t>Maintenance of burrial ground and other works in ward no 52 K R Puram</t>
  </si>
  <si>
    <t>P3291</t>
  </si>
  <si>
    <t>14th Fin -Maintenance of Cremotorium, Burial Grounds</t>
  </si>
  <si>
    <t>052-16-000005</t>
  </si>
  <si>
    <t>Improvements to drains in K.R.Pura Ward No. 52</t>
  </si>
  <si>
    <t>Sri K.C. Veeranna (S.V. Contractors)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</si>
</sst>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5"/>
  <sheetViews>
    <sheetView tabSelected="1" workbookViewId="0">
      <selection activeCell="C2" sqref="C2"/>
    </sheetView>
  </sheetViews>
  <sheetFormatPr defaultRowHeight="14.5" x14ac:dyDescent="0.35"/>
  <cols>
    <col min="1" max="1" width="5" bestFit="1" customWidth="1"/>
    <col min="2" max="2" width="6.26953125" bestFit="1" customWidth="1"/>
    <col min="3" max="3" width="8.6328125" bestFit="1" customWidth="1"/>
    <col min="5" max="5" width="10.36328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1815</v>
      </c>
      <c r="B2" s="6" t="s">
        <v>28</v>
      </c>
      <c r="C2" s="7">
        <v>43566</v>
      </c>
      <c r="D2" s="8">
        <v>52</v>
      </c>
      <c r="E2" s="9" t="s">
        <v>46</v>
      </c>
      <c r="F2" s="8" t="s">
        <v>47</v>
      </c>
      <c r="G2" s="9" t="s">
        <v>48</v>
      </c>
      <c r="H2" s="8" t="str">
        <f>"000244"</f>
        <v>000244</v>
      </c>
      <c r="I2" s="7">
        <v>43264</v>
      </c>
      <c r="J2" s="8" t="str">
        <f>"000019"</f>
        <v>000019</v>
      </c>
      <c r="K2" s="7">
        <v>43265</v>
      </c>
      <c r="L2" s="8" t="str">
        <f>"000099"</f>
        <v>000099</v>
      </c>
      <c r="M2" s="7">
        <v>43265</v>
      </c>
      <c r="N2" s="8">
        <v>16</v>
      </c>
      <c r="O2" s="8" t="str">
        <f>"000156"</f>
        <v>000156</v>
      </c>
      <c r="P2" s="7">
        <v>43563</v>
      </c>
      <c r="Q2" s="10">
        <v>107.16028</v>
      </c>
      <c r="R2" s="10">
        <v>11.93262</v>
      </c>
      <c r="S2" s="10">
        <v>95.22766</v>
      </c>
      <c r="T2" s="8">
        <v>11</v>
      </c>
      <c r="U2" s="7">
        <v>43566</v>
      </c>
      <c r="V2" s="8">
        <v>9449970566</v>
      </c>
      <c r="W2" s="9" t="s">
        <v>49</v>
      </c>
      <c r="X2" s="8" t="s">
        <v>40</v>
      </c>
      <c r="Y2" s="9" t="s">
        <v>41</v>
      </c>
      <c r="Z2" s="8" t="s">
        <v>50</v>
      </c>
      <c r="AA2" s="9" t="s">
        <v>51</v>
      </c>
      <c r="AB2" s="10">
        <f t="shared" ref="AB2:AB12" si="0">Q2/100</f>
        <v>1.0716028</v>
      </c>
    </row>
    <row r="3" spans="1:28" s="4" customFormat="1" ht="13" x14ac:dyDescent="0.3">
      <c r="A3" s="5">
        <v>1816</v>
      </c>
      <c r="B3" s="6" t="s">
        <v>28</v>
      </c>
      <c r="C3" s="7">
        <v>43566</v>
      </c>
      <c r="D3" s="8">
        <v>52</v>
      </c>
      <c r="E3" s="9" t="s">
        <v>46</v>
      </c>
      <c r="F3" s="8" t="s">
        <v>52</v>
      </c>
      <c r="G3" s="9" t="s">
        <v>53</v>
      </c>
      <c r="H3" s="8" t="str">
        <f>"000025"</f>
        <v>000025</v>
      </c>
      <c r="I3" s="7">
        <v>43239</v>
      </c>
      <c r="J3" s="8" t="str">
        <f>"000008"</f>
        <v>000008</v>
      </c>
      <c r="K3" s="7">
        <v>43239</v>
      </c>
      <c r="L3" s="8" t="str">
        <f>"000046"</f>
        <v>000046</v>
      </c>
      <c r="M3" s="7">
        <v>43239</v>
      </c>
      <c r="N3" s="8">
        <v>17</v>
      </c>
      <c r="O3" s="8" t="str">
        <f>"000187"</f>
        <v>000187</v>
      </c>
      <c r="P3" s="7">
        <v>43563</v>
      </c>
      <c r="Q3" s="10">
        <v>10.13715</v>
      </c>
      <c r="R3" s="10">
        <v>1.17384</v>
      </c>
      <c r="S3" s="10">
        <v>8.9633099999999999</v>
      </c>
      <c r="T3" s="8">
        <v>11</v>
      </c>
      <c r="U3" s="7">
        <v>43566</v>
      </c>
      <c r="V3" s="8">
        <v>9901839249</v>
      </c>
      <c r="W3" s="9" t="s">
        <v>54</v>
      </c>
      <c r="X3" s="8" t="s">
        <v>55</v>
      </c>
      <c r="Y3" s="9" t="s">
        <v>56</v>
      </c>
      <c r="Z3" s="8" t="s">
        <v>50</v>
      </c>
      <c r="AA3" s="9" t="s">
        <v>51</v>
      </c>
      <c r="AB3" s="10">
        <f t="shared" si="0"/>
        <v>0.1013715</v>
      </c>
    </row>
    <row r="4" spans="1:28" s="4" customFormat="1" ht="13" x14ac:dyDescent="0.3">
      <c r="A4" s="5">
        <v>1817</v>
      </c>
      <c r="B4" s="6" t="s">
        <v>28</v>
      </c>
      <c r="C4" s="7">
        <v>43566</v>
      </c>
      <c r="D4" s="8">
        <v>52</v>
      </c>
      <c r="E4" s="9" t="s">
        <v>46</v>
      </c>
      <c r="F4" s="8" t="s">
        <v>57</v>
      </c>
      <c r="G4" s="9" t="s">
        <v>58</v>
      </c>
      <c r="H4" s="8" t="str">
        <f>"000044"</f>
        <v>000044</v>
      </c>
      <c r="I4" s="7">
        <v>41499</v>
      </c>
      <c r="J4" s="8" t="str">
        <f>"000091"</f>
        <v>000091</v>
      </c>
      <c r="K4" s="7">
        <v>42916</v>
      </c>
      <c r="L4" s="8" t="str">
        <f>"000221"</f>
        <v>000221</v>
      </c>
      <c r="M4" s="7">
        <v>42916</v>
      </c>
      <c r="N4" s="8">
        <v>13</v>
      </c>
      <c r="O4" s="8" t="str">
        <f>"000149"</f>
        <v>000149</v>
      </c>
      <c r="P4" s="7">
        <v>43563</v>
      </c>
      <c r="Q4" s="10">
        <v>6.7429500000000004</v>
      </c>
      <c r="R4" s="10">
        <v>0.99360999999999999</v>
      </c>
      <c r="S4" s="10">
        <v>5.7493400000000001</v>
      </c>
      <c r="T4" s="8">
        <v>12</v>
      </c>
      <c r="U4" s="7">
        <v>43566</v>
      </c>
      <c r="V4" s="8">
        <v>9845440830</v>
      </c>
      <c r="W4" s="9" t="s">
        <v>59</v>
      </c>
      <c r="X4" s="8" t="s">
        <v>32</v>
      </c>
      <c r="Y4" s="9" t="s">
        <v>33</v>
      </c>
      <c r="Z4" s="8" t="s">
        <v>50</v>
      </c>
      <c r="AA4" s="9" t="s">
        <v>51</v>
      </c>
      <c r="AB4" s="10">
        <f t="shared" si="0"/>
        <v>6.7429500000000003E-2</v>
      </c>
    </row>
    <row r="5" spans="1:28" s="4" customFormat="1" ht="13" x14ac:dyDescent="0.3">
      <c r="A5" s="5">
        <v>1818</v>
      </c>
      <c r="B5" s="6" t="s">
        <v>28</v>
      </c>
      <c r="C5" s="7">
        <v>43567</v>
      </c>
      <c r="D5" s="8">
        <v>52</v>
      </c>
      <c r="E5" s="9" t="s">
        <v>46</v>
      </c>
      <c r="F5" s="8" t="s">
        <v>60</v>
      </c>
      <c r="G5" s="9" t="s">
        <v>61</v>
      </c>
      <c r="H5" s="8" t="str">
        <f>"000024"</f>
        <v>000024</v>
      </c>
      <c r="I5" s="7">
        <v>42656</v>
      </c>
      <c r="J5" s="8" t="str">
        <f>"000119"</f>
        <v>000119</v>
      </c>
      <c r="K5" s="7">
        <v>43490</v>
      </c>
      <c r="L5" s="8" t="str">
        <f>"000123"</f>
        <v>000123</v>
      </c>
      <c r="M5" s="7">
        <v>43490</v>
      </c>
      <c r="N5" s="8">
        <v>16</v>
      </c>
      <c r="O5" s="8" t="str">
        <f>"000966"</f>
        <v>000966</v>
      </c>
      <c r="P5" s="7">
        <v>43579</v>
      </c>
      <c r="Q5" s="10">
        <v>3.0202200000000001</v>
      </c>
      <c r="R5" s="10">
        <v>0.37634000000000001</v>
      </c>
      <c r="S5" s="10">
        <v>2.6438799999999998</v>
      </c>
      <c r="T5" s="8">
        <v>17</v>
      </c>
      <c r="U5" s="7">
        <v>43567</v>
      </c>
      <c r="V5" s="8">
        <v>9980796171</v>
      </c>
      <c r="W5" s="9" t="s">
        <v>62</v>
      </c>
      <c r="X5" s="8" t="s">
        <v>29</v>
      </c>
      <c r="Y5" s="9" t="s">
        <v>30</v>
      </c>
      <c r="Z5" s="8" t="s">
        <v>44</v>
      </c>
      <c r="AA5" s="9" t="s">
        <v>45</v>
      </c>
      <c r="AB5" s="10">
        <f t="shared" si="0"/>
        <v>3.0202200000000002E-2</v>
      </c>
    </row>
    <row r="6" spans="1:28" s="4" customFormat="1" ht="13" x14ac:dyDescent="0.3">
      <c r="A6" s="5">
        <v>1819</v>
      </c>
      <c r="B6" s="6" t="s">
        <v>28</v>
      </c>
      <c r="C6" s="7">
        <v>43567</v>
      </c>
      <c r="D6" s="8">
        <v>52</v>
      </c>
      <c r="E6" s="9" t="s">
        <v>46</v>
      </c>
      <c r="F6" s="8" t="s">
        <v>60</v>
      </c>
      <c r="G6" s="9" t="s">
        <v>61</v>
      </c>
      <c r="H6" s="8" t="str">
        <f>"000024"</f>
        <v>000024</v>
      </c>
      <c r="I6" s="7">
        <v>42656</v>
      </c>
      <c r="J6" s="8" t="str">
        <f>"000119"</f>
        <v>000119</v>
      </c>
      <c r="K6" s="7">
        <v>43490</v>
      </c>
      <c r="L6" s="8" t="str">
        <f>"000123"</f>
        <v>000123</v>
      </c>
      <c r="M6" s="7">
        <v>43490</v>
      </c>
      <c r="N6" s="8">
        <v>16</v>
      </c>
      <c r="O6" s="8" t="str">
        <f>"000966"</f>
        <v>000966</v>
      </c>
      <c r="P6" s="7">
        <v>43579</v>
      </c>
      <c r="Q6" s="10">
        <v>3.0202200000000001</v>
      </c>
      <c r="R6" s="10">
        <v>0.37634000000000001</v>
      </c>
      <c r="S6" s="10">
        <v>2.6438799999999998</v>
      </c>
      <c r="T6" s="8">
        <v>17</v>
      </c>
      <c r="U6" s="7">
        <v>43567</v>
      </c>
      <c r="V6" s="8">
        <v>9980796171</v>
      </c>
      <c r="W6" s="9" t="s">
        <v>62</v>
      </c>
      <c r="X6" s="8" t="s">
        <v>29</v>
      </c>
      <c r="Y6" s="9" t="s">
        <v>30</v>
      </c>
      <c r="Z6" s="8" t="s">
        <v>44</v>
      </c>
      <c r="AA6" s="9" t="s">
        <v>45</v>
      </c>
      <c r="AB6" s="10">
        <f t="shared" si="0"/>
        <v>3.0202200000000002E-2</v>
      </c>
    </row>
    <row r="7" spans="1:28" s="4" customFormat="1" ht="13" x14ac:dyDescent="0.3">
      <c r="A7" s="5">
        <v>1820</v>
      </c>
      <c r="B7" s="6" t="s">
        <v>28</v>
      </c>
      <c r="C7" s="7">
        <v>43575</v>
      </c>
      <c r="D7" s="8">
        <v>52</v>
      </c>
      <c r="E7" s="9" t="s">
        <v>46</v>
      </c>
      <c r="F7" s="8" t="s">
        <v>60</v>
      </c>
      <c r="G7" s="9" t="s">
        <v>61</v>
      </c>
      <c r="H7" s="8" t="str">
        <f>"000024"</f>
        <v>000024</v>
      </c>
      <c r="I7" s="7">
        <v>42656</v>
      </c>
      <c r="J7" s="8" t="str">
        <f>"000119"</f>
        <v>000119</v>
      </c>
      <c r="K7" s="7">
        <v>43490</v>
      </c>
      <c r="L7" s="8" t="str">
        <f>"000123"</f>
        <v>000123</v>
      </c>
      <c r="M7" s="7">
        <v>43490</v>
      </c>
      <c r="N7" s="8">
        <v>16</v>
      </c>
      <c r="O7" s="8" t="str">
        <f>"000966"</f>
        <v>000966</v>
      </c>
      <c r="P7" s="7">
        <v>43579</v>
      </c>
      <c r="Q7" s="10">
        <v>3.0202200000000001</v>
      </c>
      <c r="R7" s="10">
        <v>0.37634000000000001</v>
      </c>
      <c r="S7" s="10">
        <v>2.6438799999999998</v>
      </c>
      <c r="T7" s="8">
        <v>20</v>
      </c>
      <c r="U7" s="7">
        <v>43575</v>
      </c>
      <c r="V7" s="8">
        <v>9980796171</v>
      </c>
      <c r="W7" s="9" t="s">
        <v>62</v>
      </c>
      <c r="X7" s="8" t="s">
        <v>29</v>
      </c>
      <c r="Y7" s="9" t="s">
        <v>30</v>
      </c>
      <c r="Z7" s="8" t="s">
        <v>44</v>
      </c>
      <c r="AA7" s="9" t="s">
        <v>45</v>
      </c>
      <c r="AB7" s="10">
        <f t="shared" si="0"/>
        <v>3.0202200000000002E-2</v>
      </c>
    </row>
    <row r="8" spans="1:28" s="4" customFormat="1" ht="13" x14ac:dyDescent="0.3">
      <c r="A8" s="5">
        <v>1821</v>
      </c>
      <c r="B8" s="6" t="s">
        <v>28</v>
      </c>
      <c r="C8" s="7">
        <v>43575</v>
      </c>
      <c r="D8" s="8">
        <v>52</v>
      </c>
      <c r="E8" s="9" t="s">
        <v>46</v>
      </c>
      <c r="F8" s="8" t="s">
        <v>60</v>
      </c>
      <c r="G8" s="9" t="s">
        <v>61</v>
      </c>
      <c r="H8" s="8" t="str">
        <f>"000024"</f>
        <v>000024</v>
      </c>
      <c r="I8" s="7">
        <v>42656</v>
      </c>
      <c r="J8" s="8" t="str">
        <f>"000119"</f>
        <v>000119</v>
      </c>
      <c r="K8" s="7">
        <v>43490</v>
      </c>
      <c r="L8" s="8" t="str">
        <f>"000123"</f>
        <v>000123</v>
      </c>
      <c r="M8" s="7">
        <v>43490</v>
      </c>
      <c r="N8" s="8">
        <v>16</v>
      </c>
      <c r="O8" s="8" t="str">
        <f>"000966"</f>
        <v>000966</v>
      </c>
      <c r="P8" s="7">
        <v>43579</v>
      </c>
      <c r="Q8" s="10">
        <v>3.0202200000000001</v>
      </c>
      <c r="R8" s="10">
        <v>0.37634000000000001</v>
      </c>
      <c r="S8" s="10">
        <v>2.6438799999999998</v>
      </c>
      <c r="T8" s="8">
        <v>20</v>
      </c>
      <c r="U8" s="7">
        <v>43575</v>
      </c>
      <c r="V8" s="8">
        <v>9980796171</v>
      </c>
      <c r="W8" s="9" t="s">
        <v>62</v>
      </c>
      <c r="X8" s="8" t="s">
        <v>29</v>
      </c>
      <c r="Y8" s="9" t="s">
        <v>30</v>
      </c>
      <c r="Z8" s="8" t="s">
        <v>44</v>
      </c>
      <c r="AA8" s="9" t="s">
        <v>45</v>
      </c>
      <c r="AB8" s="10">
        <f t="shared" si="0"/>
        <v>3.0202200000000002E-2</v>
      </c>
    </row>
    <row r="9" spans="1:28" s="4" customFormat="1" ht="13" x14ac:dyDescent="0.3">
      <c r="A9" s="5">
        <v>1822</v>
      </c>
      <c r="B9" s="6" t="s">
        <v>28</v>
      </c>
      <c r="C9" s="7">
        <v>43580</v>
      </c>
      <c r="D9" s="8">
        <v>52</v>
      </c>
      <c r="E9" s="9" t="s">
        <v>46</v>
      </c>
      <c r="F9" s="8" t="s">
        <v>60</v>
      </c>
      <c r="G9" s="9" t="s">
        <v>61</v>
      </c>
      <c r="H9" s="8" t="str">
        <f>"000024"</f>
        <v>000024</v>
      </c>
      <c r="I9" s="7">
        <v>42656</v>
      </c>
      <c r="J9" s="8" t="str">
        <f>"000005"</f>
        <v>000005</v>
      </c>
      <c r="K9" s="7">
        <v>43599</v>
      </c>
      <c r="L9" s="8" t="str">
        <f>"000004"</f>
        <v>000004</v>
      </c>
      <c r="M9" s="7">
        <v>43599</v>
      </c>
      <c r="N9" s="8">
        <v>16</v>
      </c>
      <c r="O9" s="8" t="str">
        <f>""</f>
        <v/>
      </c>
      <c r="P9" s="7"/>
      <c r="Q9" s="10">
        <v>3.0202200000000001</v>
      </c>
      <c r="R9" s="10">
        <v>0.42333999999999999</v>
      </c>
      <c r="S9" s="10">
        <v>2.5968800000000001</v>
      </c>
      <c r="T9" s="8">
        <v>29</v>
      </c>
      <c r="U9" s="7">
        <v>43580</v>
      </c>
      <c r="V9" s="8">
        <v>9980796171</v>
      </c>
      <c r="W9" s="9" t="s">
        <v>62</v>
      </c>
      <c r="X9" s="8" t="s">
        <v>29</v>
      </c>
      <c r="Y9" s="9" t="s">
        <v>30</v>
      </c>
      <c r="Z9" s="8" t="s">
        <v>44</v>
      </c>
      <c r="AA9" s="9" t="s">
        <v>45</v>
      </c>
      <c r="AB9" s="10">
        <f t="shared" si="0"/>
        <v>3.0202200000000002E-2</v>
      </c>
    </row>
    <row r="10" spans="1:28" s="4" customFormat="1" ht="13" x14ac:dyDescent="0.3">
      <c r="A10" s="5">
        <v>1823</v>
      </c>
      <c r="B10" s="6" t="s">
        <v>34</v>
      </c>
      <c r="C10" s="7">
        <v>43591</v>
      </c>
      <c r="D10" s="8">
        <v>52</v>
      </c>
      <c r="E10" s="9" t="s">
        <v>46</v>
      </c>
      <c r="F10" s="8" t="s">
        <v>66</v>
      </c>
      <c r="G10" s="9" t="s">
        <v>69</v>
      </c>
      <c r="H10" s="8" t="str">
        <f>"000139"</f>
        <v>000139</v>
      </c>
      <c r="I10" s="7">
        <v>43420</v>
      </c>
      <c r="J10" s="8" t="str">
        <f>"000006"</f>
        <v>000006</v>
      </c>
      <c r="K10" s="7">
        <v>43607</v>
      </c>
      <c r="L10" s="8" t="str">
        <f>"000030"</f>
        <v>000030</v>
      </c>
      <c r="M10" s="7">
        <v>43607</v>
      </c>
      <c r="N10" s="8">
        <v>17</v>
      </c>
      <c r="O10" s="8" t="str">
        <f>""</f>
        <v/>
      </c>
      <c r="P10" s="7"/>
      <c r="Q10" s="10">
        <v>10.63485</v>
      </c>
      <c r="R10" s="10">
        <v>0.81142000000000003</v>
      </c>
      <c r="S10" s="10">
        <v>9.8234300000000001</v>
      </c>
      <c r="T10" s="8">
        <v>35</v>
      </c>
      <c r="U10" s="7">
        <v>43591</v>
      </c>
      <c r="V10" s="8">
        <v>9845440830</v>
      </c>
      <c r="W10" s="9" t="s">
        <v>68</v>
      </c>
      <c r="X10" s="8" t="s">
        <v>38</v>
      </c>
      <c r="Y10" s="9" t="s">
        <v>39</v>
      </c>
      <c r="Z10" s="8" t="s">
        <v>50</v>
      </c>
      <c r="AA10" s="9" t="s">
        <v>51</v>
      </c>
      <c r="AB10" s="10">
        <f t="shared" si="0"/>
        <v>0.1063485</v>
      </c>
    </row>
    <row r="11" spans="1:28" s="4" customFormat="1" ht="13" x14ac:dyDescent="0.3">
      <c r="A11" s="5">
        <v>1824</v>
      </c>
      <c r="B11" s="6" t="s">
        <v>34</v>
      </c>
      <c r="C11" s="7">
        <v>43598</v>
      </c>
      <c r="D11" s="8">
        <v>52</v>
      </c>
      <c r="E11" s="9" t="s">
        <v>46</v>
      </c>
      <c r="F11" s="8" t="s">
        <v>70</v>
      </c>
      <c r="G11" s="9" t="s">
        <v>71</v>
      </c>
      <c r="H11" s="8" t="str">
        <f>"000082"</f>
        <v>000082</v>
      </c>
      <c r="I11" s="7">
        <v>43422</v>
      </c>
      <c r="J11" s="8" t="str">
        <f>"000178"</f>
        <v>000178</v>
      </c>
      <c r="K11" s="7">
        <v>43552</v>
      </c>
      <c r="L11" s="8" t="str">
        <f>"000439"</f>
        <v>000439</v>
      </c>
      <c r="M11" s="7">
        <v>43552</v>
      </c>
      <c r="N11" s="8">
        <v>17</v>
      </c>
      <c r="O11" s="8" t="str">
        <f>"001420"</f>
        <v>001420</v>
      </c>
      <c r="P11" s="7">
        <v>43595</v>
      </c>
      <c r="Q11" s="10">
        <v>12.630879999999999</v>
      </c>
      <c r="R11" s="10">
        <v>1.34314</v>
      </c>
      <c r="S11" s="10">
        <v>11.287739999999999</v>
      </c>
      <c r="T11" s="8">
        <v>41</v>
      </c>
      <c r="U11" s="7">
        <v>43598</v>
      </c>
      <c r="V11" s="8">
        <v>0</v>
      </c>
      <c r="W11" s="9" t="s">
        <v>37</v>
      </c>
      <c r="X11" s="8" t="s">
        <v>38</v>
      </c>
      <c r="Y11" s="9" t="s">
        <v>39</v>
      </c>
      <c r="Z11" s="8" t="s">
        <v>50</v>
      </c>
      <c r="AA11" s="9" t="s">
        <v>51</v>
      </c>
      <c r="AB11" s="10">
        <f t="shared" si="0"/>
        <v>0.1263088</v>
      </c>
    </row>
    <row r="12" spans="1:28" s="4" customFormat="1" ht="13" x14ac:dyDescent="0.3">
      <c r="A12" s="5">
        <v>1825</v>
      </c>
      <c r="B12" s="6" t="s">
        <v>34</v>
      </c>
      <c r="C12" s="7">
        <v>43606</v>
      </c>
      <c r="D12" s="8">
        <v>52</v>
      </c>
      <c r="E12" s="9" t="s">
        <v>46</v>
      </c>
      <c r="F12" s="8" t="s">
        <v>72</v>
      </c>
      <c r="G12" s="9" t="s">
        <v>73</v>
      </c>
      <c r="H12" s="8" t="str">
        <f>"000347"</f>
        <v>000347</v>
      </c>
      <c r="I12" s="7">
        <v>43424</v>
      </c>
      <c r="J12" s="8" t="str">
        <f>"000155"</f>
        <v>000155</v>
      </c>
      <c r="K12" s="7">
        <v>43535</v>
      </c>
      <c r="L12" s="8" t="str">
        <f>"000401"</f>
        <v>000401</v>
      </c>
      <c r="M12" s="7">
        <v>43536</v>
      </c>
      <c r="N12" s="8">
        <v>17</v>
      </c>
      <c r="O12" s="8" t="str">
        <f>"001642"</f>
        <v>001642</v>
      </c>
      <c r="P12" s="7">
        <v>43601</v>
      </c>
      <c r="Q12" s="10">
        <v>80.902659999999997</v>
      </c>
      <c r="R12" s="10">
        <v>4.2206099999999998</v>
      </c>
      <c r="S12" s="10">
        <v>76.682050000000004</v>
      </c>
      <c r="T12" s="8">
        <v>54</v>
      </c>
      <c r="U12" s="7">
        <v>43606</v>
      </c>
      <c r="V12" s="8">
        <v>0</v>
      </c>
      <c r="W12" s="9" t="s">
        <v>74</v>
      </c>
      <c r="X12" s="8" t="s">
        <v>35</v>
      </c>
      <c r="Y12" s="9" t="s">
        <v>36</v>
      </c>
      <c r="Z12" s="8" t="s">
        <v>50</v>
      </c>
      <c r="AA12" s="9" t="s">
        <v>51</v>
      </c>
      <c r="AB12" s="10">
        <f t="shared" si="0"/>
        <v>0.80902659999999993</v>
      </c>
    </row>
    <row r="13" spans="1:28" s="4" customFormat="1" ht="13" x14ac:dyDescent="0.3">
      <c r="A13" s="5">
        <v>1826</v>
      </c>
      <c r="B13" s="6" t="s">
        <v>31</v>
      </c>
      <c r="C13" s="7">
        <v>43623</v>
      </c>
      <c r="D13" s="8">
        <v>52</v>
      </c>
      <c r="E13" s="9" t="s">
        <v>46</v>
      </c>
      <c r="F13" s="8" t="s">
        <v>60</v>
      </c>
      <c r="G13" s="9" t="s">
        <v>61</v>
      </c>
      <c r="H13" s="8" t="str">
        <f>"000024"</f>
        <v>000024</v>
      </c>
      <c r="I13" s="7">
        <v>42656</v>
      </c>
      <c r="J13" s="8" t="str">
        <f>"000005"</f>
        <v>000005</v>
      </c>
      <c r="K13" s="7">
        <v>43599</v>
      </c>
      <c r="L13" s="8" t="str">
        <f>"000004"</f>
        <v>000004</v>
      </c>
      <c r="M13" s="7">
        <v>43599</v>
      </c>
      <c r="N13" s="8">
        <v>16</v>
      </c>
      <c r="O13" s="8" t="str">
        <f>"002344"</f>
        <v>002344</v>
      </c>
      <c r="P13" s="7">
        <v>43617</v>
      </c>
      <c r="Q13" s="10">
        <v>6.0404600000000004</v>
      </c>
      <c r="R13" s="10">
        <v>0.73973999999999995</v>
      </c>
      <c r="S13" s="10">
        <v>5.3007200000000001</v>
      </c>
      <c r="T13" s="8">
        <v>73</v>
      </c>
      <c r="U13" s="7">
        <v>43623</v>
      </c>
      <c r="V13" s="8">
        <v>9980796171</v>
      </c>
      <c r="W13" s="9" t="s">
        <v>62</v>
      </c>
      <c r="X13" s="8" t="s">
        <v>29</v>
      </c>
      <c r="Y13" s="9" t="s">
        <v>30</v>
      </c>
      <c r="Z13" s="8" t="s">
        <v>44</v>
      </c>
      <c r="AA13" s="9" t="s">
        <v>45</v>
      </c>
      <c r="AB13" s="10">
        <v>6.0404600000000003E-2</v>
      </c>
    </row>
    <row r="14" spans="1:28" s="4" customFormat="1" ht="13" x14ac:dyDescent="0.3">
      <c r="A14" s="5">
        <v>1827</v>
      </c>
      <c r="B14" s="6" t="s">
        <v>31</v>
      </c>
      <c r="C14" s="7">
        <v>43628</v>
      </c>
      <c r="D14" s="8">
        <v>52</v>
      </c>
      <c r="E14" s="9" t="s">
        <v>46</v>
      </c>
      <c r="F14" s="8" t="s">
        <v>63</v>
      </c>
      <c r="G14" s="9" t="s">
        <v>64</v>
      </c>
      <c r="H14" s="8" t="str">
        <f>"000148"</f>
        <v>000148</v>
      </c>
      <c r="I14" s="7">
        <v>43082</v>
      </c>
      <c r="J14" s="8" t="str">
        <f>"000083"</f>
        <v>000083</v>
      </c>
      <c r="K14" s="7">
        <v>43082</v>
      </c>
      <c r="L14" s="8" t="str">
        <f>"000124"</f>
        <v>000124</v>
      </c>
      <c r="M14" s="7">
        <v>43082</v>
      </c>
      <c r="N14" s="8">
        <v>17</v>
      </c>
      <c r="O14" s="8" t="str">
        <f>"002458"</f>
        <v>002458</v>
      </c>
      <c r="P14" s="7">
        <v>43622</v>
      </c>
      <c r="Q14" s="10">
        <v>10.457979999999999</v>
      </c>
      <c r="R14" s="10">
        <v>1.0368999999999999</v>
      </c>
      <c r="S14" s="10">
        <v>9.4210799999999999</v>
      </c>
      <c r="T14" s="8">
        <v>76</v>
      </c>
      <c r="U14" s="7">
        <v>43628</v>
      </c>
      <c r="V14" s="8">
        <v>0</v>
      </c>
      <c r="W14" s="9" t="s">
        <v>65</v>
      </c>
      <c r="X14" s="8" t="s">
        <v>42</v>
      </c>
      <c r="Y14" s="9" t="s">
        <v>43</v>
      </c>
      <c r="Z14" s="8" t="s">
        <v>50</v>
      </c>
      <c r="AA14" s="9" t="s">
        <v>51</v>
      </c>
      <c r="AB14" s="10">
        <v>0.10457979999999999</v>
      </c>
    </row>
    <row r="15" spans="1:28" s="4" customFormat="1" ht="13" x14ac:dyDescent="0.3">
      <c r="A15" s="5">
        <v>1828</v>
      </c>
      <c r="B15" s="6" t="s">
        <v>31</v>
      </c>
      <c r="C15" s="7">
        <v>43641</v>
      </c>
      <c r="D15" s="8">
        <v>52</v>
      </c>
      <c r="E15" s="9" t="s">
        <v>46</v>
      </c>
      <c r="F15" s="8" t="s">
        <v>66</v>
      </c>
      <c r="G15" s="9" t="s">
        <v>67</v>
      </c>
      <c r="H15" s="8" t="str">
        <f>"000139"</f>
        <v>000139</v>
      </c>
      <c r="I15" s="7">
        <v>43420</v>
      </c>
      <c r="J15" s="8" t="str">
        <f>"000006"</f>
        <v>000006</v>
      </c>
      <c r="K15" s="7">
        <v>43607</v>
      </c>
      <c r="L15" s="8" t="str">
        <f>"000030"</f>
        <v>000030</v>
      </c>
      <c r="M15" s="7">
        <v>43607</v>
      </c>
      <c r="N15" s="8">
        <v>17</v>
      </c>
      <c r="O15" s="8" t="str">
        <f>"002937"</f>
        <v>002937</v>
      </c>
      <c r="P15" s="7">
        <v>43637</v>
      </c>
      <c r="Q15" s="10">
        <v>1.21515</v>
      </c>
      <c r="R15" s="10">
        <v>8.6650000000000005E-2</v>
      </c>
      <c r="S15" s="10">
        <v>1.1285000000000001</v>
      </c>
      <c r="T15" s="8">
        <v>93</v>
      </c>
      <c r="U15" s="7">
        <v>43641</v>
      </c>
      <c r="V15" s="8">
        <v>9845440830</v>
      </c>
      <c r="W15" s="9" t="s">
        <v>68</v>
      </c>
      <c r="X15" s="8" t="s">
        <v>38</v>
      </c>
      <c r="Y15" s="9" t="s">
        <v>39</v>
      </c>
      <c r="Z15" s="8" t="s">
        <v>50</v>
      </c>
      <c r="AA15" s="9" t="s">
        <v>51</v>
      </c>
      <c r="AB15" s="10">
        <v>1.2151499999999999E-2</v>
      </c>
    </row>
    <row r="16" spans="1:28" s="4" customFormat="1" ht="13" x14ac:dyDescent="0.3">
      <c r="A16" s="5">
        <v>1829</v>
      </c>
      <c r="B16" s="6" t="s">
        <v>75</v>
      </c>
      <c r="C16" s="7">
        <v>43647</v>
      </c>
      <c r="D16" s="8">
        <v>52</v>
      </c>
      <c r="E16" s="9" t="s">
        <v>46</v>
      </c>
      <c r="F16" s="8" t="s">
        <v>76</v>
      </c>
      <c r="G16" s="11" t="s">
        <v>77</v>
      </c>
      <c r="H16" s="8" t="str">
        <f>"000162"</f>
        <v>000162</v>
      </c>
      <c r="I16" s="7">
        <v>43109</v>
      </c>
      <c r="J16" s="8" t="str">
        <f>"000097"</f>
        <v>000097</v>
      </c>
      <c r="K16" s="7">
        <v>43109</v>
      </c>
      <c r="L16" s="8" t="str">
        <f>"000162"</f>
        <v>000162</v>
      </c>
      <c r="M16" s="7">
        <v>43110</v>
      </c>
      <c r="N16" s="8">
        <v>17</v>
      </c>
      <c r="O16" s="8" t="str">
        <f>"003042"</f>
        <v>003042</v>
      </c>
      <c r="P16" s="7">
        <v>43640</v>
      </c>
      <c r="Q16" s="12">
        <v>51.772120000000001</v>
      </c>
      <c r="R16" s="12">
        <v>6.2000999999999999</v>
      </c>
      <c r="S16" s="12">
        <v>45.572020000000002</v>
      </c>
      <c r="T16" s="8">
        <v>96</v>
      </c>
      <c r="U16" s="7">
        <v>43647</v>
      </c>
      <c r="V16" s="8">
        <v>9448080506</v>
      </c>
      <c r="W16" s="11" t="s">
        <v>78</v>
      </c>
      <c r="X16" s="8" t="s">
        <v>32</v>
      </c>
      <c r="Y16" s="11" t="s">
        <v>33</v>
      </c>
      <c r="Z16" s="8" t="s">
        <v>50</v>
      </c>
      <c r="AA16" s="11" t="s">
        <v>51</v>
      </c>
      <c r="AB16" s="12">
        <f t="shared" ref="AB16:AB25" si="1">Q16/100</f>
        <v>0.51772119999999999</v>
      </c>
    </row>
    <row r="17" spans="1:28" s="4" customFormat="1" ht="13" x14ac:dyDescent="0.3">
      <c r="A17" s="5">
        <v>1830</v>
      </c>
      <c r="B17" s="6" t="s">
        <v>75</v>
      </c>
      <c r="C17" s="7">
        <v>43647</v>
      </c>
      <c r="D17" s="8">
        <v>52</v>
      </c>
      <c r="E17" s="9" t="s">
        <v>46</v>
      </c>
      <c r="F17" s="8" t="s">
        <v>79</v>
      </c>
      <c r="G17" s="11" t="s">
        <v>80</v>
      </c>
      <c r="H17" s="8" t="str">
        <f>"000116"</f>
        <v>000116</v>
      </c>
      <c r="I17" s="7">
        <v>42999</v>
      </c>
      <c r="J17" s="8" t="str">
        <f>"000101"</f>
        <v>000101</v>
      </c>
      <c r="K17" s="7">
        <v>43111</v>
      </c>
      <c r="L17" s="8" t="str">
        <f>"000164"</f>
        <v>000164</v>
      </c>
      <c r="M17" s="7">
        <v>43111</v>
      </c>
      <c r="N17" s="8">
        <v>17</v>
      </c>
      <c r="O17" s="8" t="str">
        <f>"003043"</f>
        <v>003043</v>
      </c>
      <c r="P17" s="7">
        <v>43640</v>
      </c>
      <c r="Q17" s="12">
        <v>44.316589999999998</v>
      </c>
      <c r="R17" s="12">
        <v>5.2045000000000003</v>
      </c>
      <c r="S17" s="12">
        <v>39.112090000000002</v>
      </c>
      <c r="T17" s="8">
        <v>96</v>
      </c>
      <c r="U17" s="7">
        <v>43647</v>
      </c>
      <c r="V17" s="8">
        <v>0</v>
      </c>
      <c r="W17" s="11" t="s">
        <v>81</v>
      </c>
      <c r="X17" s="8" t="s">
        <v>32</v>
      </c>
      <c r="Y17" s="11" t="s">
        <v>33</v>
      </c>
      <c r="Z17" s="8" t="s">
        <v>50</v>
      </c>
      <c r="AA17" s="11" t="s">
        <v>51</v>
      </c>
      <c r="AB17" s="12">
        <f t="shared" si="1"/>
        <v>0.4431659</v>
      </c>
    </row>
    <row r="18" spans="1:28" s="4" customFormat="1" ht="13" x14ac:dyDescent="0.3">
      <c r="A18" s="5">
        <v>1831</v>
      </c>
      <c r="B18" s="6" t="s">
        <v>75</v>
      </c>
      <c r="C18" s="7">
        <v>43664</v>
      </c>
      <c r="D18" s="8">
        <v>52</v>
      </c>
      <c r="E18" s="9" t="s">
        <v>46</v>
      </c>
      <c r="F18" s="8" t="s">
        <v>47</v>
      </c>
      <c r="G18" s="11" t="s">
        <v>48</v>
      </c>
      <c r="H18" s="8" t="str">
        <f>"000244"</f>
        <v>000244</v>
      </c>
      <c r="I18" s="7">
        <v>43264</v>
      </c>
      <c r="J18" s="8" t="str">
        <f>"000043"</f>
        <v>000043</v>
      </c>
      <c r="K18" s="7">
        <v>43306</v>
      </c>
      <c r="L18" s="8" t="str">
        <f>"000141"</f>
        <v>000141</v>
      </c>
      <c r="M18" s="7">
        <v>43306</v>
      </c>
      <c r="N18" s="8">
        <v>16</v>
      </c>
      <c r="O18" s="8" t="str">
        <f>"003547"</f>
        <v>003547</v>
      </c>
      <c r="P18" s="7">
        <v>43663</v>
      </c>
      <c r="Q18" s="12">
        <v>21.76783</v>
      </c>
      <c r="R18" s="12">
        <v>2.2595200000000002</v>
      </c>
      <c r="S18" s="12">
        <v>19.508310000000002</v>
      </c>
      <c r="T18" s="8">
        <v>116</v>
      </c>
      <c r="U18" s="7">
        <v>43664</v>
      </c>
      <c r="V18" s="8">
        <v>9449970566</v>
      </c>
      <c r="W18" s="11" t="s">
        <v>49</v>
      </c>
      <c r="X18" s="8" t="s">
        <v>40</v>
      </c>
      <c r="Y18" s="11" t="s">
        <v>41</v>
      </c>
      <c r="Z18" s="8" t="s">
        <v>50</v>
      </c>
      <c r="AA18" s="11" t="s">
        <v>51</v>
      </c>
      <c r="AB18" s="12">
        <f t="shared" si="1"/>
        <v>0.21767829999999999</v>
      </c>
    </row>
    <row r="19" spans="1:28" s="4" customFormat="1" ht="13" x14ac:dyDescent="0.3">
      <c r="A19" s="5">
        <v>1832</v>
      </c>
      <c r="B19" s="6" t="s">
        <v>82</v>
      </c>
      <c r="C19" s="7">
        <v>43679</v>
      </c>
      <c r="D19" s="8">
        <v>52</v>
      </c>
      <c r="E19" s="9" t="s">
        <v>46</v>
      </c>
      <c r="F19" s="8" t="s">
        <v>60</v>
      </c>
      <c r="G19" s="11" t="s">
        <v>61</v>
      </c>
      <c r="H19" s="8" t="str">
        <f>"000024"</f>
        <v>000024</v>
      </c>
      <c r="I19" s="7">
        <v>42656</v>
      </c>
      <c r="J19" s="8" t="str">
        <f>"000052"</f>
        <v>000052</v>
      </c>
      <c r="K19" s="7">
        <v>43782</v>
      </c>
      <c r="L19" s="8" t="str">
        <f>"000054"</f>
        <v>000054</v>
      </c>
      <c r="M19" s="7">
        <v>43782</v>
      </c>
      <c r="N19" s="8">
        <v>16</v>
      </c>
      <c r="O19" s="8" t="str">
        <f>"006354"</f>
        <v>006354</v>
      </c>
      <c r="P19" s="7">
        <v>43791</v>
      </c>
      <c r="Q19" s="12">
        <v>3.0202300000000002</v>
      </c>
      <c r="R19" s="12">
        <v>0.46188000000000001</v>
      </c>
      <c r="S19" s="12">
        <v>2.5583499999999999</v>
      </c>
      <c r="T19" s="8">
        <v>138</v>
      </c>
      <c r="U19" s="7">
        <v>43679</v>
      </c>
      <c r="V19" s="8">
        <v>9980796171</v>
      </c>
      <c r="W19" s="11" t="s">
        <v>62</v>
      </c>
      <c r="X19" s="8" t="s">
        <v>29</v>
      </c>
      <c r="Y19" s="11" t="s">
        <v>30</v>
      </c>
      <c r="Z19" s="8" t="s">
        <v>44</v>
      </c>
      <c r="AA19" s="11" t="s">
        <v>45</v>
      </c>
      <c r="AB19" s="12">
        <f t="shared" si="1"/>
        <v>3.0202300000000001E-2</v>
      </c>
    </row>
    <row r="20" spans="1:28" s="4" customFormat="1" ht="13" x14ac:dyDescent="0.3">
      <c r="A20" s="5">
        <v>1833</v>
      </c>
      <c r="B20" s="6" t="s">
        <v>82</v>
      </c>
      <c r="C20" s="7">
        <v>43696</v>
      </c>
      <c r="D20" s="8">
        <v>52</v>
      </c>
      <c r="E20" s="9" t="s">
        <v>46</v>
      </c>
      <c r="F20" s="8" t="s">
        <v>83</v>
      </c>
      <c r="G20" s="11" t="s">
        <v>84</v>
      </c>
      <c r="H20" s="8" t="str">
        <f>"000186"</f>
        <v>000186</v>
      </c>
      <c r="I20" s="7">
        <v>43165</v>
      </c>
      <c r="J20" s="8" t="str">
        <f>"000117"</f>
        <v>000117</v>
      </c>
      <c r="K20" s="7">
        <v>43167</v>
      </c>
      <c r="L20" s="8" t="str">
        <f>"000230"</f>
        <v>000230</v>
      </c>
      <c r="M20" s="7">
        <v>43174</v>
      </c>
      <c r="N20" s="8">
        <v>17</v>
      </c>
      <c r="O20" s="8" t="str">
        <f>"004401"</f>
        <v>004401</v>
      </c>
      <c r="P20" s="7">
        <v>43686</v>
      </c>
      <c r="Q20" s="12">
        <v>26.077490000000001</v>
      </c>
      <c r="R20" s="12">
        <v>3.2175199999999999</v>
      </c>
      <c r="S20" s="12">
        <v>22.859970000000001</v>
      </c>
      <c r="T20" s="8">
        <v>158</v>
      </c>
      <c r="U20" s="7">
        <v>43696</v>
      </c>
      <c r="V20" s="8">
        <v>9740181396</v>
      </c>
      <c r="W20" s="11" t="s">
        <v>85</v>
      </c>
      <c r="X20" s="8" t="s">
        <v>42</v>
      </c>
      <c r="Y20" s="11" t="s">
        <v>43</v>
      </c>
      <c r="Z20" s="8" t="s">
        <v>50</v>
      </c>
      <c r="AA20" s="11" t="s">
        <v>51</v>
      </c>
      <c r="AB20" s="12">
        <f t="shared" si="1"/>
        <v>0.26077490000000003</v>
      </c>
    </row>
    <row r="21" spans="1:28" s="4" customFormat="1" ht="13" x14ac:dyDescent="0.3">
      <c r="A21" s="5">
        <v>1834</v>
      </c>
      <c r="B21" s="6" t="s">
        <v>82</v>
      </c>
      <c r="C21" s="7">
        <v>43704</v>
      </c>
      <c r="D21" s="8">
        <v>52</v>
      </c>
      <c r="E21" s="9" t="s">
        <v>46</v>
      </c>
      <c r="F21" s="8" t="s">
        <v>86</v>
      </c>
      <c r="G21" s="11" t="s">
        <v>87</v>
      </c>
      <c r="H21" s="8" t="str">
        <f>"000233"</f>
        <v>000233</v>
      </c>
      <c r="I21" s="7">
        <v>43187</v>
      </c>
      <c r="J21" s="8" t="str">
        <f>"000131"</f>
        <v>000131</v>
      </c>
      <c r="K21" s="7">
        <v>43187</v>
      </c>
      <c r="L21" s="8" t="str">
        <f>"000277"</f>
        <v>000277</v>
      </c>
      <c r="M21" s="7">
        <v>43187</v>
      </c>
      <c r="N21" s="8">
        <v>17</v>
      </c>
      <c r="O21" s="8" t="str">
        <f>"004546"</f>
        <v>004546</v>
      </c>
      <c r="P21" s="7">
        <v>43693</v>
      </c>
      <c r="Q21" s="12">
        <v>24.8949</v>
      </c>
      <c r="R21" s="12">
        <v>3.1301299999999999</v>
      </c>
      <c r="S21" s="12">
        <v>21.764769999999999</v>
      </c>
      <c r="T21" s="8">
        <v>166</v>
      </c>
      <c r="U21" s="7">
        <v>43704</v>
      </c>
      <c r="V21" s="8">
        <v>9611508999</v>
      </c>
      <c r="W21" s="11" t="s">
        <v>88</v>
      </c>
      <c r="X21" s="8" t="s">
        <v>42</v>
      </c>
      <c r="Y21" s="11" t="s">
        <v>43</v>
      </c>
      <c r="Z21" s="8" t="s">
        <v>50</v>
      </c>
      <c r="AA21" s="11" t="s">
        <v>51</v>
      </c>
      <c r="AB21" s="12">
        <f t="shared" si="1"/>
        <v>0.248949</v>
      </c>
    </row>
    <row r="22" spans="1:28" s="4" customFormat="1" ht="13" x14ac:dyDescent="0.3">
      <c r="A22" s="5">
        <v>1835</v>
      </c>
      <c r="B22" s="6" t="s">
        <v>89</v>
      </c>
      <c r="C22" s="7">
        <v>43714</v>
      </c>
      <c r="D22" s="8">
        <v>52</v>
      </c>
      <c r="E22" s="9" t="s">
        <v>46</v>
      </c>
      <c r="F22" s="8" t="s">
        <v>90</v>
      </c>
      <c r="G22" s="11" t="s">
        <v>91</v>
      </c>
      <c r="H22" s="8" t="str">
        <f>"000232"</f>
        <v>000232</v>
      </c>
      <c r="I22" s="7">
        <v>43187</v>
      </c>
      <c r="J22" s="8" t="str">
        <f>"000132"</f>
        <v>000132</v>
      </c>
      <c r="K22" s="7">
        <v>43187</v>
      </c>
      <c r="L22" s="8" t="str">
        <f>"000278"</f>
        <v>000278</v>
      </c>
      <c r="M22" s="7">
        <v>43187</v>
      </c>
      <c r="N22" s="8">
        <v>17</v>
      </c>
      <c r="O22" s="8" t="str">
        <f>"004868"</f>
        <v>004868</v>
      </c>
      <c r="P22" s="7">
        <v>43707</v>
      </c>
      <c r="Q22" s="12">
        <v>14.74517</v>
      </c>
      <c r="R22" s="12">
        <v>1.8092999999999999</v>
      </c>
      <c r="S22" s="12">
        <v>12.93587</v>
      </c>
      <c r="T22" s="8">
        <v>175</v>
      </c>
      <c r="U22" s="7">
        <v>43714</v>
      </c>
      <c r="V22" s="8">
        <v>9611508999</v>
      </c>
      <c r="W22" s="11" t="s">
        <v>88</v>
      </c>
      <c r="X22" s="8" t="s">
        <v>42</v>
      </c>
      <c r="Y22" s="11" t="s">
        <v>43</v>
      </c>
      <c r="Z22" s="8" t="s">
        <v>50</v>
      </c>
      <c r="AA22" s="11" t="s">
        <v>51</v>
      </c>
      <c r="AB22" s="12">
        <f t="shared" si="1"/>
        <v>0.14745169999999999</v>
      </c>
    </row>
    <row r="23" spans="1:28" s="4" customFormat="1" ht="13" x14ac:dyDescent="0.3">
      <c r="A23" s="5">
        <v>1836</v>
      </c>
      <c r="B23" s="6" t="s">
        <v>89</v>
      </c>
      <c r="C23" s="7">
        <v>43732</v>
      </c>
      <c r="D23" s="8">
        <v>52</v>
      </c>
      <c r="E23" s="9" t="s">
        <v>46</v>
      </c>
      <c r="F23" s="8" t="s">
        <v>92</v>
      </c>
      <c r="G23" s="11" t="s">
        <v>93</v>
      </c>
      <c r="H23" s="8" t="str">
        <f>"000024"</f>
        <v>000024</v>
      </c>
      <c r="I23" s="7">
        <v>43203</v>
      </c>
      <c r="J23" s="8" t="str">
        <f>"000004"</f>
        <v>000004</v>
      </c>
      <c r="K23" s="7">
        <v>43203</v>
      </c>
      <c r="L23" s="8" t="str">
        <f>"000034"</f>
        <v>000034</v>
      </c>
      <c r="M23" s="7">
        <v>43203</v>
      </c>
      <c r="N23" s="8">
        <v>17</v>
      </c>
      <c r="O23" s="8" t="str">
        <f>"005247"</f>
        <v>005247</v>
      </c>
      <c r="P23" s="7">
        <v>43728</v>
      </c>
      <c r="Q23" s="12">
        <v>62.364260000000002</v>
      </c>
      <c r="R23" s="12">
        <v>7.79983</v>
      </c>
      <c r="S23" s="12">
        <v>54.564430000000002</v>
      </c>
      <c r="T23" s="8">
        <v>199</v>
      </c>
      <c r="U23" s="7">
        <v>43732</v>
      </c>
      <c r="V23" s="8">
        <v>9611168447</v>
      </c>
      <c r="W23" s="11" t="s">
        <v>94</v>
      </c>
      <c r="X23" s="8" t="s">
        <v>42</v>
      </c>
      <c r="Y23" s="11" t="s">
        <v>43</v>
      </c>
      <c r="Z23" s="8" t="s">
        <v>50</v>
      </c>
      <c r="AA23" s="11" t="s">
        <v>51</v>
      </c>
      <c r="AB23" s="12">
        <f t="shared" si="1"/>
        <v>0.62364260000000005</v>
      </c>
    </row>
    <row r="24" spans="1:28" s="4" customFormat="1" ht="13" x14ac:dyDescent="0.3">
      <c r="A24" s="5">
        <v>1837</v>
      </c>
      <c r="B24" s="6" t="s">
        <v>89</v>
      </c>
      <c r="C24" s="7">
        <v>43732</v>
      </c>
      <c r="D24" s="8">
        <v>52</v>
      </c>
      <c r="E24" s="9" t="s">
        <v>46</v>
      </c>
      <c r="F24" s="8" t="s">
        <v>95</v>
      </c>
      <c r="G24" s="11" t="s">
        <v>96</v>
      </c>
      <c r="H24" s="8" t="str">
        <f>"000007"</f>
        <v>000007</v>
      </c>
      <c r="I24" s="7">
        <v>43206</v>
      </c>
      <c r="J24" s="8" t="str">
        <f>"000020"</f>
        <v>000020</v>
      </c>
      <c r="K24" s="7">
        <v>43206</v>
      </c>
      <c r="L24" s="8" t="str">
        <f>"000020"</f>
        <v>000020</v>
      </c>
      <c r="M24" s="7">
        <v>43206</v>
      </c>
      <c r="N24" s="8">
        <v>18</v>
      </c>
      <c r="O24" s="8" t="str">
        <f>"005248"</f>
        <v>005248</v>
      </c>
      <c r="P24" s="7">
        <v>43728</v>
      </c>
      <c r="Q24" s="12">
        <v>78.515119999999996</v>
      </c>
      <c r="R24" s="12">
        <v>7.9535799999999997</v>
      </c>
      <c r="S24" s="12">
        <v>70.561539999999994</v>
      </c>
      <c r="T24" s="8">
        <v>199</v>
      </c>
      <c r="U24" s="7">
        <v>43732</v>
      </c>
      <c r="V24" s="8">
        <v>9980796171</v>
      </c>
      <c r="W24" s="11" t="s">
        <v>97</v>
      </c>
      <c r="X24" s="8" t="s">
        <v>98</v>
      </c>
      <c r="Y24" s="11" t="s">
        <v>99</v>
      </c>
      <c r="Z24" s="8" t="s">
        <v>44</v>
      </c>
      <c r="AA24" s="11" t="s">
        <v>45</v>
      </c>
      <c r="AB24" s="12">
        <f t="shared" si="1"/>
        <v>0.78515119999999994</v>
      </c>
    </row>
    <row r="25" spans="1:28" s="4" customFormat="1" ht="13" x14ac:dyDescent="0.3">
      <c r="A25" s="5">
        <v>1838</v>
      </c>
      <c r="B25" s="6" t="s">
        <v>89</v>
      </c>
      <c r="C25" s="7">
        <v>43732</v>
      </c>
      <c r="D25" s="8">
        <v>52</v>
      </c>
      <c r="E25" s="9" t="s">
        <v>46</v>
      </c>
      <c r="F25" s="8" t="s">
        <v>60</v>
      </c>
      <c r="G25" s="11" t="s">
        <v>61</v>
      </c>
      <c r="H25" s="8" t="str">
        <f>"000024"</f>
        <v>000024</v>
      </c>
      <c r="I25" s="7">
        <v>42656</v>
      </c>
      <c r="J25" s="8" t="str">
        <f>"000052"</f>
        <v>000052</v>
      </c>
      <c r="K25" s="7">
        <v>43782</v>
      </c>
      <c r="L25" s="8" t="str">
        <f>"000054"</f>
        <v>000054</v>
      </c>
      <c r="M25" s="7">
        <v>43782</v>
      </c>
      <c r="N25" s="8">
        <v>16</v>
      </c>
      <c r="O25" s="8" t="str">
        <f>"006354"</f>
        <v>006354</v>
      </c>
      <c r="P25" s="7">
        <v>43791</v>
      </c>
      <c r="Q25" s="12">
        <v>3.0202300000000002</v>
      </c>
      <c r="R25" s="12">
        <v>0.36987999999999999</v>
      </c>
      <c r="S25" s="12">
        <v>2.65035</v>
      </c>
      <c r="T25" s="8">
        <v>200</v>
      </c>
      <c r="U25" s="7">
        <v>43732</v>
      </c>
      <c r="V25" s="8">
        <v>9980796171</v>
      </c>
      <c r="W25" s="11" t="s">
        <v>62</v>
      </c>
      <c r="X25" s="8" t="s">
        <v>29</v>
      </c>
      <c r="Y25" s="11" t="s">
        <v>30</v>
      </c>
      <c r="Z25" s="8" t="s">
        <v>44</v>
      </c>
      <c r="AA25" s="11" t="s">
        <v>45</v>
      </c>
      <c r="AB25" s="12">
        <f t="shared" si="1"/>
        <v>3.0202300000000001E-2</v>
      </c>
    </row>
    <row r="26" spans="1:28" s="4" customFormat="1" ht="13" x14ac:dyDescent="0.3">
      <c r="A26" s="5">
        <v>1839</v>
      </c>
      <c r="B26" s="6" t="s">
        <v>100</v>
      </c>
      <c r="C26" s="7">
        <v>43748</v>
      </c>
      <c r="D26" s="5">
        <v>52</v>
      </c>
      <c r="E26" s="9" t="s">
        <v>46</v>
      </c>
      <c r="F26" s="8" t="s">
        <v>101</v>
      </c>
      <c r="G26" s="9" t="s">
        <v>102</v>
      </c>
      <c r="H26" s="8" t="str">
        <f>"000106"</f>
        <v>000106</v>
      </c>
      <c r="I26" s="7">
        <v>42801</v>
      </c>
      <c r="J26" s="8" t="str">
        <f>"000017"</f>
        <v>000017</v>
      </c>
      <c r="K26" s="7">
        <v>43249</v>
      </c>
      <c r="L26" s="8" t="str">
        <f>"000072"</f>
        <v>000072</v>
      </c>
      <c r="M26" s="7">
        <v>43249</v>
      </c>
      <c r="N26" s="8">
        <v>17</v>
      </c>
      <c r="O26" s="8" t="str">
        <f>"005648"</f>
        <v>005648</v>
      </c>
      <c r="P26" s="7">
        <v>43741</v>
      </c>
      <c r="Q26" s="10">
        <v>3.7556500000000002</v>
      </c>
      <c r="R26" s="10">
        <v>0.30420999999999998</v>
      </c>
      <c r="S26" s="10">
        <v>3.4514399999999998</v>
      </c>
      <c r="T26" s="8">
        <v>13</v>
      </c>
      <c r="U26" s="7">
        <v>43748</v>
      </c>
      <c r="V26" s="8">
        <v>0</v>
      </c>
      <c r="W26" s="9" t="s">
        <v>103</v>
      </c>
      <c r="X26" s="8" t="s">
        <v>32</v>
      </c>
      <c r="Y26" s="9" t="s">
        <v>33</v>
      </c>
      <c r="Z26" s="8" t="s">
        <v>50</v>
      </c>
      <c r="AA26" s="9" t="s">
        <v>51</v>
      </c>
      <c r="AB26" s="10">
        <v>3.75565E-2</v>
      </c>
    </row>
    <row r="27" spans="1:28" s="4" customFormat="1" ht="13" x14ac:dyDescent="0.3">
      <c r="A27" s="5">
        <v>1840</v>
      </c>
      <c r="B27" s="6" t="s">
        <v>104</v>
      </c>
      <c r="C27" s="7">
        <v>43795</v>
      </c>
      <c r="D27" s="5">
        <v>52</v>
      </c>
      <c r="E27" s="9" t="s">
        <v>46</v>
      </c>
      <c r="F27" s="8" t="s">
        <v>60</v>
      </c>
      <c r="G27" s="9" t="s">
        <v>61</v>
      </c>
      <c r="H27" s="8" t="str">
        <f>"000024"</f>
        <v>000024</v>
      </c>
      <c r="I27" s="7">
        <v>42656</v>
      </c>
      <c r="J27" s="8" t="str">
        <f>"000052"</f>
        <v>000052</v>
      </c>
      <c r="K27" s="7">
        <v>43782</v>
      </c>
      <c r="L27" s="8" t="str">
        <f>"000054"</f>
        <v>000054</v>
      </c>
      <c r="M27" s="7">
        <v>43782</v>
      </c>
      <c r="N27" s="8">
        <v>16</v>
      </c>
      <c r="O27" s="8" t="str">
        <f>"006354"</f>
        <v>006354</v>
      </c>
      <c r="P27" s="7">
        <v>43791</v>
      </c>
      <c r="Q27" s="10">
        <v>3.0202300000000002</v>
      </c>
      <c r="R27" s="10">
        <v>0.36987999999999999</v>
      </c>
      <c r="S27" s="10">
        <v>2.65035</v>
      </c>
      <c r="T27" s="8">
        <v>13</v>
      </c>
      <c r="U27" s="7">
        <v>43795</v>
      </c>
      <c r="V27" s="8">
        <v>9980796171</v>
      </c>
      <c r="W27" s="9" t="s">
        <v>62</v>
      </c>
      <c r="X27" s="8" t="s">
        <v>29</v>
      </c>
      <c r="Y27" s="9" t="s">
        <v>30</v>
      </c>
      <c r="Z27" s="8" t="s">
        <v>44</v>
      </c>
      <c r="AA27" s="9" t="s">
        <v>45</v>
      </c>
      <c r="AB27" s="10">
        <v>3.0202300000000001E-2</v>
      </c>
    </row>
    <row r="28" spans="1:28" s="4" customFormat="1" ht="13" x14ac:dyDescent="0.3">
      <c r="A28" s="5">
        <v>1841</v>
      </c>
      <c r="B28" s="6" t="s">
        <v>105</v>
      </c>
      <c r="C28" s="7">
        <v>43818</v>
      </c>
      <c r="D28" s="5">
        <v>52</v>
      </c>
      <c r="E28" s="9" t="s">
        <v>46</v>
      </c>
      <c r="F28" s="8" t="s">
        <v>106</v>
      </c>
      <c r="G28" s="9" t="s">
        <v>107</v>
      </c>
      <c r="H28" s="8" t="str">
        <f>"000039"</f>
        <v>000039</v>
      </c>
      <c r="I28" s="7">
        <v>43650</v>
      </c>
      <c r="J28" s="8" t="str">
        <f>"000050"</f>
        <v>000050</v>
      </c>
      <c r="K28" s="7">
        <v>43795</v>
      </c>
      <c r="L28" s="8" t="str">
        <f>"000159"</f>
        <v>000159</v>
      </c>
      <c r="M28" s="7">
        <v>43795</v>
      </c>
      <c r="N28" s="8">
        <v>19</v>
      </c>
      <c r="O28" s="8" t="str">
        <f>"006842"</f>
        <v>006842</v>
      </c>
      <c r="P28" s="7">
        <v>43815</v>
      </c>
      <c r="Q28" s="10">
        <v>2.03783</v>
      </c>
      <c r="R28" s="10">
        <v>0.1817</v>
      </c>
      <c r="S28" s="10">
        <v>1.8561300000000001</v>
      </c>
      <c r="T28" s="8">
        <v>13</v>
      </c>
      <c r="U28" s="7">
        <v>43818</v>
      </c>
      <c r="V28" s="8">
        <v>9901839249</v>
      </c>
      <c r="W28" s="9" t="s">
        <v>108</v>
      </c>
      <c r="X28" s="8" t="s">
        <v>109</v>
      </c>
      <c r="Y28" s="9" t="s">
        <v>110</v>
      </c>
      <c r="Z28" s="8" t="s">
        <v>50</v>
      </c>
      <c r="AA28" s="9" t="s">
        <v>51</v>
      </c>
      <c r="AB28" s="10">
        <v>2.0378300000000002E-2</v>
      </c>
    </row>
    <row r="29" spans="1:28" s="4" customFormat="1" ht="13" x14ac:dyDescent="0.3">
      <c r="A29" s="5">
        <v>1842</v>
      </c>
      <c r="B29" s="6" t="s">
        <v>105</v>
      </c>
      <c r="C29" s="7">
        <v>43818</v>
      </c>
      <c r="D29" s="5">
        <v>52</v>
      </c>
      <c r="E29" s="9" t="s">
        <v>46</v>
      </c>
      <c r="F29" s="8" t="s">
        <v>111</v>
      </c>
      <c r="G29" s="9" t="s">
        <v>112</v>
      </c>
      <c r="H29" s="8" t="str">
        <f>"000040"</f>
        <v>000040</v>
      </c>
      <c r="I29" s="7">
        <v>43650</v>
      </c>
      <c r="J29" s="8" t="str">
        <f>"000051"</f>
        <v>000051</v>
      </c>
      <c r="K29" s="7">
        <v>43795</v>
      </c>
      <c r="L29" s="8" t="str">
        <f>"000160"</f>
        <v>000160</v>
      </c>
      <c r="M29" s="7">
        <v>43795</v>
      </c>
      <c r="N29" s="8">
        <v>19</v>
      </c>
      <c r="O29" s="8" t="str">
        <f>"006843"</f>
        <v>006843</v>
      </c>
      <c r="P29" s="7">
        <v>43815</v>
      </c>
      <c r="Q29" s="10">
        <v>8.1687499999999993</v>
      </c>
      <c r="R29" s="10">
        <v>0.78937999999999997</v>
      </c>
      <c r="S29" s="10">
        <v>7.3793699999999998</v>
      </c>
      <c r="T29" s="8">
        <v>13</v>
      </c>
      <c r="U29" s="7">
        <v>43818</v>
      </c>
      <c r="V29" s="8">
        <v>9845485047</v>
      </c>
      <c r="W29" s="9" t="s">
        <v>113</v>
      </c>
      <c r="X29" s="8" t="s">
        <v>114</v>
      </c>
      <c r="Y29" s="9" t="s">
        <v>115</v>
      </c>
      <c r="Z29" s="8" t="s">
        <v>50</v>
      </c>
      <c r="AA29" s="9" t="s">
        <v>51</v>
      </c>
      <c r="AB29" s="10">
        <v>8.1687499999999996E-2</v>
      </c>
    </row>
    <row r="30" spans="1:28" s="4" customFormat="1" ht="13" x14ac:dyDescent="0.3">
      <c r="A30" s="5">
        <v>1843</v>
      </c>
      <c r="B30" s="6" t="s">
        <v>105</v>
      </c>
      <c r="C30" s="7">
        <v>43820</v>
      </c>
      <c r="D30" s="5">
        <v>52</v>
      </c>
      <c r="E30" s="9" t="s">
        <v>46</v>
      </c>
      <c r="F30" s="8" t="s">
        <v>116</v>
      </c>
      <c r="G30" s="9" t="s">
        <v>117</v>
      </c>
      <c r="H30" s="8" t="str">
        <f>"000044"</f>
        <v>000044</v>
      </c>
      <c r="I30" s="7">
        <v>43650</v>
      </c>
      <c r="J30" s="8" t="str">
        <f>"000049"</f>
        <v>000049</v>
      </c>
      <c r="K30" s="7">
        <v>43794</v>
      </c>
      <c r="L30" s="8" t="str">
        <f>"000158"</f>
        <v>000158</v>
      </c>
      <c r="M30" s="7">
        <v>43794</v>
      </c>
      <c r="N30" s="8">
        <v>19</v>
      </c>
      <c r="O30" s="8" t="str">
        <f>"006890"</f>
        <v>006890</v>
      </c>
      <c r="P30" s="7">
        <v>43819</v>
      </c>
      <c r="Q30" s="10">
        <v>10.926970000000001</v>
      </c>
      <c r="R30" s="10">
        <v>0.97421999999999997</v>
      </c>
      <c r="S30" s="10">
        <v>9.95275</v>
      </c>
      <c r="T30" s="8">
        <v>13</v>
      </c>
      <c r="U30" s="7">
        <v>43820</v>
      </c>
      <c r="V30" s="8">
        <v>9901839249</v>
      </c>
      <c r="W30" s="9" t="s">
        <v>108</v>
      </c>
      <c r="X30" s="8" t="s">
        <v>118</v>
      </c>
      <c r="Y30" s="9" t="s">
        <v>119</v>
      </c>
      <c r="Z30" s="8" t="s">
        <v>50</v>
      </c>
      <c r="AA30" s="9" t="s">
        <v>51</v>
      </c>
      <c r="AB30" s="10">
        <v>0.10926970000000001</v>
      </c>
    </row>
    <row r="31" spans="1:28" s="4" customFormat="1" ht="13" x14ac:dyDescent="0.3">
      <c r="A31" s="5">
        <v>1844</v>
      </c>
      <c r="B31" s="6" t="s">
        <v>105</v>
      </c>
      <c r="C31" s="7">
        <v>43820</v>
      </c>
      <c r="D31" s="5">
        <v>52</v>
      </c>
      <c r="E31" s="9" t="s">
        <v>46</v>
      </c>
      <c r="F31" s="8" t="s">
        <v>120</v>
      </c>
      <c r="G31" s="9" t="s">
        <v>121</v>
      </c>
      <c r="H31" s="8" t="str">
        <f>"000038"</f>
        <v>000038</v>
      </c>
      <c r="I31" s="7">
        <v>43650</v>
      </c>
      <c r="J31" s="8" t="str">
        <f>"000048"</f>
        <v>000048</v>
      </c>
      <c r="K31" s="7">
        <v>43794</v>
      </c>
      <c r="L31" s="8" t="str">
        <f>"000157"</f>
        <v>000157</v>
      </c>
      <c r="M31" s="7">
        <v>43794</v>
      </c>
      <c r="N31" s="8">
        <v>19</v>
      </c>
      <c r="O31" s="8" t="str">
        <f>"006893"</f>
        <v>006893</v>
      </c>
      <c r="P31" s="7">
        <v>43819</v>
      </c>
      <c r="Q31" s="10">
        <v>2.7365499999999998</v>
      </c>
      <c r="R31" s="10">
        <v>0.28444999999999998</v>
      </c>
      <c r="S31" s="10">
        <v>2.4521000000000002</v>
      </c>
      <c r="T31" s="8">
        <v>13</v>
      </c>
      <c r="U31" s="7">
        <v>43820</v>
      </c>
      <c r="V31" s="8">
        <v>9901839249</v>
      </c>
      <c r="W31" s="9" t="s">
        <v>108</v>
      </c>
      <c r="X31" s="8" t="s">
        <v>122</v>
      </c>
      <c r="Y31" s="9" t="s">
        <v>123</v>
      </c>
      <c r="Z31" s="8" t="s">
        <v>50</v>
      </c>
      <c r="AA31" s="9" t="s">
        <v>51</v>
      </c>
      <c r="AB31" s="10">
        <v>2.7365499999999997E-2</v>
      </c>
    </row>
    <row r="32" spans="1:28" s="4" customFormat="1" ht="13" x14ac:dyDescent="0.3">
      <c r="A32" s="5">
        <v>1845</v>
      </c>
      <c r="B32" s="6" t="s">
        <v>105</v>
      </c>
      <c r="C32" s="7">
        <v>43820</v>
      </c>
      <c r="D32" s="5">
        <v>52</v>
      </c>
      <c r="E32" s="9" t="s">
        <v>46</v>
      </c>
      <c r="F32" s="8" t="s">
        <v>124</v>
      </c>
      <c r="G32" s="9" t="s">
        <v>125</v>
      </c>
      <c r="H32" s="8" t="str">
        <f>"000042"</f>
        <v>000042</v>
      </c>
      <c r="I32" s="7">
        <v>43650</v>
      </c>
      <c r="J32" s="8" t="str">
        <f>"000053"</f>
        <v>000053</v>
      </c>
      <c r="K32" s="7">
        <v>43795</v>
      </c>
      <c r="L32" s="8" t="str">
        <f>"000162"</f>
        <v>000162</v>
      </c>
      <c r="M32" s="7">
        <v>43795</v>
      </c>
      <c r="N32" s="8">
        <v>19</v>
      </c>
      <c r="O32" s="8" t="str">
        <f>"006894"</f>
        <v>006894</v>
      </c>
      <c r="P32" s="7">
        <v>43819</v>
      </c>
      <c r="Q32" s="10">
        <v>7.9234099999999996</v>
      </c>
      <c r="R32" s="10">
        <v>0.75112999999999996</v>
      </c>
      <c r="S32" s="10">
        <v>7.1722799999999998</v>
      </c>
      <c r="T32" s="8">
        <v>13</v>
      </c>
      <c r="U32" s="7">
        <v>43820</v>
      </c>
      <c r="V32" s="8">
        <v>9341183339</v>
      </c>
      <c r="W32" s="9" t="s">
        <v>126</v>
      </c>
      <c r="X32" s="8" t="s">
        <v>127</v>
      </c>
      <c r="Y32" s="9" t="s">
        <v>128</v>
      </c>
      <c r="Z32" s="8" t="s">
        <v>50</v>
      </c>
      <c r="AA32" s="9" t="s">
        <v>51</v>
      </c>
      <c r="AB32" s="10">
        <v>7.9234100000000002E-2</v>
      </c>
    </row>
    <row r="33" spans="1:28" s="4" customFormat="1" ht="13" x14ac:dyDescent="0.3">
      <c r="A33" s="5">
        <v>1846</v>
      </c>
      <c r="B33" s="6" t="s">
        <v>105</v>
      </c>
      <c r="C33" s="7">
        <v>43820</v>
      </c>
      <c r="D33" s="5">
        <v>52</v>
      </c>
      <c r="E33" s="9" t="s">
        <v>46</v>
      </c>
      <c r="F33" s="8" t="s">
        <v>129</v>
      </c>
      <c r="G33" s="9" t="s">
        <v>130</v>
      </c>
      <c r="H33" s="8" t="str">
        <f>"000041"</f>
        <v>000041</v>
      </c>
      <c r="I33" s="7">
        <v>43650</v>
      </c>
      <c r="J33" s="8" t="str">
        <f>"000052"</f>
        <v>000052</v>
      </c>
      <c r="K33" s="7">
        <v>43795</v>
      </c>
      <c r="L33" s="8" t="str">
        <f>"000161"</f>
        <v>000161</v>
      </c>
      <c r="M33" s="7">
        <v>43795</v>
      </c>
      <c r="N33" s="8">
        <v>19</v>
      </c>
      <c r="O33" s="8" t="str">
        <f>"006895"</f>
        <v>006895</v>
      </c>
      <c r="P33" s="7">
        <v>43819</v>
      </c>
      <c r="Q33" s="10">
        <v>4.9875800000000003</v>
      </c>
      <c r="R33" s="10">
        <v>0.46307999999999999</v>
      </c>
      <c r="S33" s="10">
        <v>4.5244999999999997</v>
      </c>
      <c r="T33" s="8">
        <v>13</v>
      </c>
      <c r="U33" s="7">
        <v>43820</v>
      </c>
      <c r="V33" s="8">
        <v>9448446520</v>
      </c>
      <c r="W33" s="9" t="s">
        <v>131</v>
      </c>
      <c r="X33" s="8" t="s">
        <v>132</v>
      </c>
      <c r="Y33" s="9" t="s">
        <v>133</v>
      </c>
      <c r="Z33" s="8" t="s">
        <v>50</v>
      </c>
      <c r="AA33" s="9" t="s">
        <v>51</v>
      </c>
      <c r="AB33" s="10">
        <v>4.9875800000000005E-2</v>
      </c>
    </row>
    <row r="34" spans="1:28" s="4" customFormat="1" ht="13" x14ac:dyDescent="0.3">
      <c r="A34" s="5">
        <v>1847</v>
      </c>
      <c r="B34" s="6" t="s">
        <v>105</v>
      </c>
      <c r="C34" s="7">
        <v>43820</v>
      </c>
      <c r="D34" s="5">
        <v>52</v>
      </c>
      <c r="E34" s="9" t="s">
        <v>46</v>
      </c>
      <c r="F34" s="8" t="s">
        <v>134</v>
      </c>
      <c r="G34" s="9" t="s">
        <v>135</v>
      </c>
      <c r="H34" s="8" t="str">
        <f>"000036"</f>
        <v>000036</v>
      </c>
      <c r="I34" s="7">
        <v>43647</v>
      </c>
      <c r="J34" s="8" t="str">
        <f>"000047"</f>
        <v>000047</v>
      </c>
      <c r="K34" s="7">
        <v>43794</v>
      </c>
      <c r="L34" s="8" t="str">
        <f>"000156"</f>
        <v>000156</v>
      </c>
      <c r="M34" s="7">
        <v>43794</v>
      </c>
      <c r="N34" s="8">
        <v>19</v>
      </c>
      <c r="O34" s="8" t="str">
        <f>"006897"</f>
        <v>006897</v>
      </c>
      <c r="P34" s="7">
        <v>43819</v>
      </c>
      <c r="Q34" s="10">
        <v>2.72268</v>
      </c>
      <c r="R34" s="10">
        <v>0.24274000000000001</v>
      </c>
      <c r="S34" s="10">
        <v>2.47994</v>
      </c>
      <c r="T34" s="8">
        <v>13</v>
      </c>
      <c r="U34" s="7">
        <v>43820</v>
      </c>
      <c r="V34" s="8">
        <v>9845485047</v>
      </c>
      <c r="W34" s="9" t="s">
        <v>113</v>
      </c>
      <c r="X34" s="8" t="s">
        <v>136</v>
      </c>
      <c r="Y34" s="9" t="s">
        <v>137</v>
      </c>
      <c r="Z34" s="8" t="s">
        <v>50</v>
      </c>
      <c r="AA34" s="9" t="s">
        <v>51</v>
      </c>
      <c r="AB34" s="10">
        <v>2.7226799999999999E-2</v>
      </c>
    </row>
    <row r="35" spans="1:28" s="4" customFormat="1" ht="13" x14ac:dyDescent="0.3">
      <c r="A35" s="5">
        <v>1848</v>
      </c>
      <c r="B35" s="6" t="s">
        <v>105</v>
      </c>
      <c r="C35" s="7">
        <v>43823</v>
      </c>
      <c r="D35" s="5">
        <v>52</v>
      </c>
      <c r="E35" s="9" t="s">
        <v>46</v>
      </c>
      <c r="F35" s="8" t="s">
        <v>138</v>
      </c>
      <c r="G35" s="9" t="s">
        <v>139</v>
      </c>
      <c r="H35" s="8" t="str">
        <f>"000179"</f>
        <v>000179</v>
      </c>
      <c r="I35" s="7">
        <v>42816</v>
      </c>
      <c r="J35" s="8" t="str">
        <f>"000004"</f>
        <v>000004</v>
      </c>
      <c r="K35" s="7">
        <v>42852</v>
      </c>
      <c r="L35" s="8" t="str">
        <f>"000023"</f>
        <v>000023</v>
      </c>
      <c r="M35" s="7">
        <v>42853</v>
      </c>
      <c r="N35" s="8">
        <v>16</v>
      </c>
      <c r="O35" s="8" t="str">
        <f>"006100"</f>
        <v>006100</v>
      </c>
      <c r="P35" s="7">
        <v>43376</v>
      </c>
      <c r="Q35" s="10">
        <v>9.6577599999999997</v>
      </c>
      <c r="R35" s="10">
        <v>1.1648099999999999</v>
      </c>
      <c r="S35" s="10">
        <v>8.4929500000000004</v>
      </c>
      <c r="T35" s="8">
        <v>13</v>
      </c>
      <c r="U35" s="7">
        <v>43823</v>
      </c>
      <c r="V35" s="8">
        <v>0</v>
      </c>
      <c r="W35" s="9" t="s">
        <v>140</v>
      </c>
      <c r="X35" s="8" t="s">
        <v>32</v>
      </c>
      <c r="Y35" s="9" t="s">
        <v>33</v>
      </c>
      <c r="Z35" s="8" t="s">
        <v>50</v>
      </c>
      <c r="AA35" s="9" t="s">
        <v>51</v>
      </c>
      <c r="AB35" s="10">
        <v>9.65776E-2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2020-01-28T11:49:40Z</dcterms:modified>
</cp:coreProperties>
</file>