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1" i="1" l="1"/>
  <c r="L51" i="1"/>
  <c r="J51" i="1"/>
  <c r="H51" i="1"/>
  <c r="O50" i="1"/>
  <c r="L50" i="1"/>
  <c r="J50" i="1"/>
  <c r="H50" i="1"/>
  <c r="O49" i="1"/>
  <c r="L49" i="1"/>
  <c r="J49" i="1"/>
  <c r="H49" i="1"/>
  <c r="O48" i="1"/>
  <c r="L48" i="1"/>
  <c r="J48" i="1"/>
  <c r="H48" i="1"/>
  <c r="O47" i="1"/>
  <c r="L47" i="1"/>
  <c r="J47" i="1"/>
  <c r="H47" i="1"/>
  <c r="O46" i="1"/>
  <c r="L46" i="1"/>
  <c r="J46" i="1"/>
  <c r="H46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<sst xmlns="http://schemas.openxmlformats.org/spreadsheetml/2006/main" count="478" uniqueCount="178">
  <si>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</si>
  <si>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</si>
  <si>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</si>
  <si>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</si>
  <si>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</si>
  <si>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</si>
  <si>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</si>
  <si>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</si>
  <si>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</si>
  <si>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</si>
  <si>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</si>
  <si>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</si>
  <si>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</si>
  <si>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</si>
  <si>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</si>
  <si>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</si>
  <si>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</si>
  <si>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</si>
  <si>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</si>
  <si>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</si>
  <si>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</si>
  <si>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</si>
  <si>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</si>
  <si>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</si>
  <si>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</si>
  <si>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</si>
  <si>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</si>
  <si>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</si>
  <si>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</si>
  <si>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</si>
  <si>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</si>
  <si>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</si>
  <si>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</si>
  <si>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</si>
  <si>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</si>
  <si>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P3122</t>
  </si>
  <si>
    <t>AMRUT Project Horticulture</t>
  </si>
  <si>
    <t>ddo611</t>
  </si>
  <si>
    <t xml:space="preserve"> Executive Engineer 1 - Projects 2 Central Zone</t>
  </si>
  <si>
    <t>P1802</t>
  </si>
  <si>
    <t>Water Supply New Areas</t>
  </si>
  <si>
    <t>P1878</t>
  </si>
  <si>
    <t>18per - Works (Bhagyajyothi, Sooru / Neeru Yojane and General) (54 Lakhs / New Wards)</t>
  </si>
  <si>
    <t>M/S KRIDL</t>
  </si>
  <si>
    <t>P0298</t>
  </si>
  <si>
    <t>M and R to Electrical Installations in Parks and Gardens, Playgrounds, Burial Grounds</t>
  </si>
  <si>
    <t>ddo365</t>
  </si>
  <si>
    <t xml:space="preserve"> Executive Engineer Electrical Mahadevapura Zone</t>
  </si>
  <si>
    <t>P3089</t>
  </si>
  <si>
    <t>Special Development works in 7 CMC and 1 TMC area in BBMP</t>
  </si>
  <si>
    <t>M Venkatachalapathi</t>
  </si>
  <si>
    <t>Hoodi</t>
  </si>
  <si>
    <t>054-18-000027</t>
  </si>
  <si>
    <t>Providing and laying New Addition PVC pipelines in Hoodi ward no 54</t>
  </si>
  <si>
    <t>S R VENUGOPAL</t>
  </si>
  <si>
    <t>P3335</t>
  </si>
  <si>
    <t>Special Development works at Ward No.54,99,107,48 ( 04 wards Rs.8.00 Cr. Each)</t>
  </si>
  <si>
    <t>ddo359</t>
  </si>
  <si>
    <t xml:space="preserve"> Assistant Executive Engineer Hoody Mahadevapura Zone</t>
  </si>
  <si>
    <t>054-17-000066</t>
  </si>
  <si>
    <t>Providing new pipelines repairs to old pipelines and gate valves at varanasi bilishivali byrathi and byrathi bande villages in hoody ward no 54</t>
  </si>
  <si>
    <t>Ashwathappa</t>
  </si>
  <si>
    <t>054-15-000026</t>
  </si>
  <si>
    <t>MR to Electrical Installation in Parks and Gardens Play grounds Burrial Grounds in Hudi Sub division limit Ward No54 82 85</t>
  </si>
  <si>
    <t xml:space="preserve">M/s Vaishnavi Enterprises </t>
  </si>
  <si>
    <t>054-17-000061</t>
  </si>
  <si>
    <t>Development of green space and park to Bhirathi park in ward no 54 Hoodi ( Mahadevapura zone)</t>
  </si>
  <si>
    <t>Shivanna</t>
  </si>
  <si>
    <t>054-17-000060</t>
  </si>
  <si>
    <t>Development of Gunduthopu park ( Bhirathi) in ward no 54 ( Mahadevapura zone)</t>
  </si>
  <si>
    <t>054-16-000001</t>
  </si>
  <si>
    <t>Operation and maintanance of street light fittings in ward no 54 Hoody Mahadevapura Zone M06</t>
  </si>
  <si>
    <t>M/s Thirumala Electricals,</t>
  </si>
  <si>
    <t>054-17-000042</t>
  </si>
  <si>
    <t>Improvements of Roads in Blessing Garden at Bhyrathi Village in Ward no. 54</t>
  </si>
  <si>
    <t>Operation and maintanance of street light fittings in ward no 54 Hoody  Mahadevapura Zone M06</t>
  </si>
  <si>
    <t>054-17-000011</t>
  </si>
  <si>
    <t>Maintenance and Repairs to Culverts drains in  Ward No54</t>
  </si>
  <si>
    <t>M.Suresh</t>
  </si>
  <si>
    <t>054-19-000001</t>
  </si>
  <si>
    <t>Improvements to roads, drains and culverts at Hanumanthnagara backside area at Bilishivale Village in Ward No 54</t>
  </si>
  <si>
    <t>The Executive Engineer-5,KRIDL</t>
  </si>
  <si>
    <t>054-19-000002</t>
  </si>
  <si>
    <t>Improvements to roads, drains and culverts at Bilishivale and Byrathi Village in Ward No 54</t>
  </si>
  <si>
    <t>The Executive engineer-5,KRIDL</t>
  </si>
  <si>
    <t>054-16-000023</t>
  </si>
  <si>
    <t>Improvement ro roads and drains at Hoody Vijayavihar layout and Thigalarapalya in ward no 54</t>
  </si>
  <si>
    <t>VH Rangaswamy</t>
  </si>
  <si>
    <t>054-17-000052</t>
  </si>
  <si>
    <t>Improvements to road and drains at Ayyappanagara 5th main road and other cross road Hoodi in ward no 54</t>
  </si>
  <si>
    <t>P3166</t>
  </si>
  <si>
    <t>Special Development works in ward No.21, 24, 50, 54, 58, 59, 72, 78, 110, 141, 188 and 197 (Rs.200 Lakhs per ward)</t>
  </si>
  <si>
    <t>July</t>
  </si>
  <si>
    <t>054-17-000020</t>
  </si>
  <si>
    <t>Improvements to internal roads and drains at Ayappanagara Vinayaka layout in ward no 54</t>
  </si>
  <si>
    <t>M.Venkatachalapathi</t>
  </si>
  <si>
    <t>054-17-000023</t>
  </si>
  <si>
    <t>Improvements to internal roads and drains at Sadaramanagala in ward no 54</t>
  </si>
  <si>
    <t>054-17-000019</t>
  </si>
  <si>
    <t>Improvements to internal roads and drains at Byrathi bande in ward no 54</t>
  </si>
  <si>
    <t>Ashwath</t>
  </si>
  <si>
    <t>054-16-000010</t>
  </si>
  <si>
    <t>Improvements to internal roads and drains at Bilishivale in ward no-54</t>
  </si>
  <si>
    <t>GE shivakumar</t>
  </si>
  <si>
    <t>054-18-000050</t>
  </si>
  <si>
    <t>Providing solid waste management in Hoodi ward no 54</t>
  </si>
  <si>
    <t>The Executive Engineer-5, KRIDL</t>
  </si>
  <si>
    <t>P3298</t>
  </si>
  <si>
    <t>14th Finance Commission Works - SWM Works</t>
  </si>
  <si>
    <t>054-17-000021</t>
  </si>
  <si>
    <t>Development of Garden at Alfa Garden in ward no 54</t>
  </si>
  <si>
    <t>V srinivas</t>
  </si>
  <si>
    <t>August</t>
  </si>
  <si>
    <t>054-17-000009</t>
  </si>
  <si>
    <t>Improvements to roads and drains at Sadaramangala Village in ward 54</t>
  </si>
  <si>
    <t>KRIDL</t>
  </si>
  <si>
    <t>P0190</t>
  </si>
  <si>
    <t>Works sanctioned by Hon Mayor</t>
  </si>
  <si>
    <t>054-19-000003</t>
  </si>
  <si>
    <t>Improvements to roads, drains and culverts at Krishna nagar and Surrounding area Byrathi Bande in Ward No 54</t>
  </si>
  <si>
    <t>THE EE-5, KRIDL</t>
  </si>
  <si>
    <t>054-19-000004</t>
  </si>
  <si>
    <t>Improvements to roads, drains and culverts at Beltur, Beltur colony and Kodigehalli Village in Ward No 54</t>
  </si>
  <si>
    <t>THE EE-5</t>
  </si>
  <si>
    <t>054-17-000025</t>
  </si>
  <si>
    <t>Improvements to internal roads and drains at beltur colony in ward no 54</t>
  </si>
  <si>
    <t>054-17-000051</t>
  </si>
  <si>
    <t>Improvements to road and drains at Gopal Reddy Layout Hoodi Village in ward no 54</t>
  </si>
  <si>
    <t>054-18-000004</t>
  </si>
  <si>
    <t>Sinking of Borewell and Pipe line in Belthur, Belthur colony in ward no 54</t>
  </si>
  <si>
    <t>P2415</t>
  </si>
  <si>
    <t>Reserve fund for TandF Committee</t>
  </si>
  <si>
    <t>054-18-000005</t>
  </si>
  <si>
    <t>Sinking of Borewell and Pipe line in Sadaramangala village in ward no 54</t>
  </si>
  <si>
    <t>054-18-000006</t>
  </si>
  <si>
    <t>Sinking of Borewell and Pipe line in Byrathi, Byrathi Bande village in ward no 54</t>
  </si>
  <si>
    <t>054-18-000007</t>
  </si>
  <si>
    <t>Sinking of Borewell and Pipe line in Bilishivale village in ward no 54</t>
  </si>
  <si>
    <t>September</t>
  </si>
  <si>
    <t>054-18-000042</t>
  </si>
  <si>
    <t>Maintenance of street lights and Providing new street light at necessary placeses in Hoodi ward no 54</t>
  </si>
  <si>
    <t>P3290</t>
  </si>
  <si>
    <t>14th Finance Commission Works - Providing Street Lights and Maintenance</t>
  </si>
  <si>
    <t>054-17-000014</t>
  </si>
  <si>
    <t>Providing and fixing of street lights at Hoodi ward no 54</t>
  </si>
  <si>
    <t>M/S Kaveri Electricals.</t>
  </si>
  <si>
    <t>054-18-000045</t>
  </si>
  <si>
    <t>Providing drinking water facilities in Kodigehalli in Hoodi ward no 54</t>
  </si>
  <si>
    <t>P3293</t>
  </si>
  <si>
    <t>14th Finance Commission Works - Drinking Water</t>
  </si>
  <si>
    <t>054-17-000048</t>
  </si>
  <si>
    <t>Improvements to road and drains at Ramanna Layout 1st and 2nd cross Byrathi Village in ward no 54</t>
  </si>
  <si>
    <t>054-17-000049</t>
  </si>
  <si>
    <t>Improvements to road and drains at Ramanna Layout 3rd and 4th cross Byrathi Village in ward no 54</t>
  </si>
  <si>
    <t>054-18-000049</t>
  </si>
  <si>
    <t>Construction of storm water drain in Hoodi ward no 54</t>
  </si>
  <si>
    <t>P3297</t>
  </si>
  <si>
    <t>14th Finance Commission Grants - SWD Works</t>
  </si>
  <si>
    <t>October</t>
  </si>
  <si>
    <t>November</t>
  </si>
  <si>
    <t>054-17-000050</t>
  </si>
  <si>
    <t>Improvements to road and drains at Nisarga Layout Byrathi Village in ward no 54</t>
  </si>
  <si>
    <t>054-17-000018</t>
  </si>
  <si>
    <t>Improvements to internal roads and drains at Byrathi in ward no 54</t>
  </si>
  <si>
    <t>054-14-000013</t>
  </si>
  <si>
    <t>Improvements to roads 1st Block Anup layout of Ayyappanagara village in ward no 54</t>
  </si>
  <si>
    <t>Sri Gopala Krishna</t>
  </si>
  <si>
    <t>December</t>
  </si>
  <si>
    <t>054-19-000032</t>
  </si>
  <si>
    <t>Providing borewell water pipe lines Water Supply works at ward No.54</t>
  </si>
  <si>
    <t>The Executive Engineer-5,</t>
  </si>
  <si>
    <t>054-18-000018</t>
  </si>
  <si>
    <t>Improvements to internal roads and drains at Shanthinilaya chruch roads at Byrathi in Hoodi ward no 54</t>
  </si>
  <si>
    <t>054-19-000033</t>
  </si>
  <si>
    <t>Restoration of roads for BWSSB water line cut portion at Belthur and Beltur colony in Hoodi ward no 54</t>
  </si>
  <si>
    <t>C R GIRISH RAM AND COMPANY</t>
  </si>
  <si>
    <t>P0613</t>
  </si>
  <si>
    <t>Redoing of Road cut Portions (Deposit Contributions)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</si>
</sst>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tabSelected="1" workbookViewId="0">
      <selection activeCell="E1" sqref="E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1888</v>
      </c>
      <c r="B2" s="6" t="s">
        <v>28</v>
      </c>
      <c r="C2" s="7">
        <v>43566</v>
      </c>
      <c r="D2" s="8">
        <v>54</v>
      </c>
      <c r="E2" s="9" t="s">
        <v>51</v>
      </c>
      <c r="F2" s="8" t="s">
        <v>52</v>
      </c>
      <c r="G2" s="9" t="s">
        <v>53</v>
      </c>
      <c r="H2" s="8" t="str">
        <f>"000032"</f>
        <v>000032</v>
      </c>
      <c r="I2" s="7">
        <v>43257</v>
      </c>
      <c r="J2" s="8" t="str">
        <f>"000024"</f>
        <v>000024</v>
      </c>
      <c r="K2" s="7">
        <v>43257</v>
      </c>
      <c r="L2" s="8" t="str">
        <f>"000063"</f>
        <v>000063</v>
      </c>
      <c r="M2" s="7">
        <v>43257</v>
      </c>
      <c r="N2" s="8">
        <v>18</v>
      </c>
      <c r="O2" s="8" t="str">
        <f>"000155"</f>
        <v>000155</v>
      </c>
      <c r="P2" s="7">
        <v>43563</v>
      </c>
      <c r="Q2" s="10">
        <v>14.67024</v>
      </c>
      <c r="R2" s="10">
        <v>1.3643099999999999</v>
      </c>
      <c r="S2" s="10">
        <v>13.30593</v>
      </c>
      <c r="T2" s="8">
        <v>11</v>
      </c>
      <c r="U2" s="7">
        <v>43566</v>
      </c>
      <c r="V2" s="8">
        <v>9748529632</v>
      </c>
      <c r="W2" s="9" t="s">
        <v>54</v>
      </c>
      <c r="X2" s="8" t="s">
        <v>55</v>
      </c>
      <c r="Y2" s="9" t="s">
        <v>56</v>
      </c>
      <c r="Z2" s="8" t="s">
        <v>57</v>
      </c>
      <c r="AA2" s="9" t="s">
        <v>58</v>
      </c>
      <c r="AB2" s="10">
        <f t="shared" ref="AB2:AB16" si="0">Q2/100</f>
        <v>0.14670240000000001</v>
      </c>
    </row>
    <row r="3" spans="1:28" s="4" customFormat="1" ht="13" x14ac:dyDescent="0.3">
      <c r="A3" s="5">
        <v>1889</v>
      </c>
      <c r="B3" s="6" t="s">
        <v>28</v>
      </c>
      <c r="C3" s="7">
        <v>43566</v>
      </c>
      <c r="D3" s="8">
        <v>54</v>
      </c>
      <c r="E3" s="9" t="s">
        <v>51</v>
      </c>
      <c r="F3" s="8" t="s">
        <v>59</v>
      </c>
      <c r="G3" s="9" t="s">
        <v>60</v>
      </c>
      <c r="H3" s="8" t="str">
        <f>"000076"</f>
        <v>000076</v>
      </c>
      <c r="I3" s="7">
        <v>43012</v>
      </c>
      <c r="J3" s="8" t="str">
        <f>"000027"</f>
        <v>000027</v>
      </c>
      <c r="K3" s="7">
        <v>43270</v>
      </c>
      <c r="L3" s="8" t="str">
        <f>"000067"</f>
        <v>000067</v>
      </c>
      <c r="M3" s="7">
        <v>43270</v>
      </c>
      <c r="N3" s="8">
        <v>17</v>
      </c>
      <c r="O3" s="8" t="str">
        <f>"000157"</f>
        <v>000157</v>
      </c>
      <c r="P3" s="7">
        <v>43563</v>
      </c>
      <c r="Q3" s="10">
        <v>6.5759100000000004</v>
      </c>
      <c r="R3" s="10">
        <v>0.61151999999999995</v>
      </c>
      <c r="S3" s="10">
        <v>5.9643899999999999</v>
      </c>
      <c r="T3" s="8">
        <v>11</v>
      </c>
      <c r="U3" s="7">
        <v>43566</v>
      </c>
      <c r="V3" s="8">
        <v>9945629497</v>
      </c>
      <c r="W3" s="9" t="s">
        <v>61</v>
      </c>
      <c r="X3" s="8" t="s">
        <v>39</v>
      </c>
      <c r="Y3" s="9" t="s">
        <v>40</v>
      </c>
      <c r="Z3" s="8" t="s">
        <v>57</v>
      </c>
      <c r="AA3" s="9" t="s">
        <v>58</v>
      </c>
      <c r="AB3" s="10">
        <f t="shared" si="0"/>
        <v>6.5759100000000001E-2</v>
      </c>
    </row>
    <row r="4" spans="1:28" s="4" customFormat="1" ht="13" x14ac:dyDescent="0.3">
      <c r="A4" s="5">
        <v>1890</v>
      </c>
      <c r="B4" s="6" t="s">
        <v>28</v>
      </c>
      <c r="C4" s="7">
        <v>43566</v>
      </c>
      <c r="D4" s="8">
        <v>54</v>
      </c>
      <c r="E4" s="9" t="s">
        <v>51</v>
      </c>
      <c r="F4" s="8" t="s">
        <v>62</v>
      </c>
      <c r="G4" s="9" t="s">
        <v>63</v>
      </c>
      <c r="H4" s="8" t="str">
        <f>"000051"</f>
        <v>000051</v>
      </c>
      <c r="I4" s="7">
        <v>43177</v>
      </c>
      <c r="J4" s="8" t="str">
        <f>"000063"</f>
        <v>000063</v>
      </c>
      <c r="K4" s="7">
        <v>43177</v>
      </c>
      <c r="L4" s="8" t="str">
        <f>"000065"</f>
        <v>000065</v>
      </c>
      <c r="M4" s="7">
        <v>43177</v>
      </c>
      <c r="N4" s="8">
        <v>15</v>
      </c>
      <c r="O4" s="8" t="str">
        <f>"000266"</f>
        <v>000266</v>
      </c>
      <c r="P4" s="7">
        <v>43564</v>
      </c>
      <c r="Q4" s="10">
        <v>0.88629999999999998</v>
      </c>
      <c r="R4" s="10">
        <v>9.0260000000000007E-2</v>
      </c>
      <c r="S4" s="10">
        <v>0.79603999999999997</v>
      </c>
      <c r="T4" s="8">
        <v>11</v>
      </c>
      <c r="U4" s="7">
        <v>43566</v>
      </c>
      <c r="V4" s="8">
        <v>0</v>
      </c>
      <c r="W4" s="9" t="s">
        <v>64</v>
      </c>
      <c r="X4" s="8" t="s">
        <v>44</v>
      </c>
      <c r="Y4" s="9" t="s">
        <v>45</v>
      </c>
      <c r="Z4" s="8" t="s">
        <v>46</v>
      </c>
      <c r="AA4" s="9" t="s">
        <v>47</v>
      </c>
      <c r="AB4" s="10">
        <f t="shared" si="0"/>
        <v>8.8629999999999994E-3</v>
      </c>
    </row>
    <row r="5" spans="1:28" s="4" customFormat="1" ht="13" x14ac:dyDescent="0.3">
      <c r="A5" s="5">
        <v>1891</v>
      </c>
      <c r="B5" s="6" t="s">
        <v>28</v>
      </c>
      <c r="C5" s="7">
        <v>43566</v>
      </c>
      <c r="D5" s="8">
        <v>54</v>
      </c>
      <c r="E5" s="9" t="s">
        <v>51</v>
      </c>
      <c r="F5" s="8" t="s">
        <v>65</v>
      </c>
      <c r="G5" s="9" t="s">
        <v>66</v>
      </c>
      <c r="H5" s="8" t="str">
        <f>"000057"</f>
        <v>000057</v>
      </c>
      <c r="I5" s="7">
        <v>43537</v>
      </c>
      <c r="J5" s="8" t="str">
        <f>"000007"</f>
        <v>000007</v>
      </c>
      <c r="K5" s="7">
        <v>43571</v>
      </c>
      <c r="L5" s="8" t="str">
        <f>"000008"</f>
        <v>000008</v>
      </c>
      <c r="M5" s="7">
        <v>43571</v>
      </c>
      <c r="N5" s="8">
        <v>17</v>
      </c>
      <c r="O5" s="8" t="str">
        <f>""</f>
        <v/>
      </c>
      <c r="P5" s="7"/>
      <c r="Q5" s="10">
        <v>52.092700000000001</v>
      </c>
      <c r="R5" s="10">
        <v>2.7435999999999998</v>
      </c>
      <c r="S5" s="10">
        <v>49.3491</v>
      </c>
      <c r="T5" s="8">
        <v>14</v>
      </c>
      <c r="U5" s="7">
        <v>43566</v>
      </c>
      <c r="V5" s="8">
        <v>9980005471</v>
      </c>
      <c r="W5" s="9" t="s">
        <v>67</v>
      </c>
      <c r="X5" s="8" t="s">
        <v>35</v>
      </c>
      <c r="Y5" s="9" t="s">
        <v>36</v>
      </c>
      <c r="Z5" s="8" t="s">
        <v>37</v>
      </c>
      <c r="AA5" s="9" t="s">
        <v>38</v>
      </c>
      <c r="AB5" s="10">
        <f t="shared" si="0"/>
        <v>0.52092700000000003</v>
      </c>
    </row>
    <row r="6" spans="1:28" s="4" customFormat="1" ht="13" x14ac:dyDescent="0.3">
      <c r="A6" s="5">
        <v>1892</v>
      </c>
      <c r="B6" s="6" t="s">
        <v>28</v>
      </c>
      <c r="C6" s="7">
        <v>43566</v>
      </c>
      <c r="D6" s="8">
        <v>54</v>
      </c>
      <c r="E6" s="9" t="s">
        <v>51</v>
      </c>
      <c r="F6" s="8" t="s">
        <v>68</v>
      </c>
      <c r="G6" s="9" t="s">
        <v>69</v>
      </c>
      <c r="H6" s="8" t="str">
        <f>"000056"</f>
        <v>000056</v>
      </c>
      <c r="I6" s="7">
        <v>43536</v>
      </c>
      <c r="J6" s="8" t="str">
        <f>"000005"</f>
        <v>000005</v>
      </c>
      <c r="K6" s="7">
        <v>43571</v>
      </c>
      <c r="L6" s="8" t="str">
        <f>"000006"</f>
        <v>000006</v>
      </c>
      <c r="M6" s="7">
        <v>43571</v>
      </c>
      <c r="N6" s="8">
        <v>17</v>
      </c>
      <c r="O6" s="8" t="str">
        <f>""</f>
        <v/>
      </c>
      <c r="P6" s="7"/>
      <c r="Q6" s="10">
        <v>31.996400000000001</v>
      </c>
      <c r="R6" s="10">
        <v>1.7803500000000001</v>
      </c>
      <c r="S6" s="10">
        <v>30.216049999999999</v>
      </c>
      <c r="T6" s="8">
        <v>14</v>
      </c>
      <c r="U6" s="7">
        <v>43566</v>
      </c>
      <c r="V6" s="8">
        <v>9980005471</v>
      </c>
      <c r="W6" s="9" t="s">
        <v>67</v>
      </c>
      <c r="X6" s="8" t="s">
        <v>35</v>
      </c>
      <c r="Y6" s="9" t="s">
        <v>36</v>
      </c>
      <c r="Z6" s="8" t="s">
        <v>37</v>
      </c>
      <c r="AA6" s="9" t="s">
        <v>38</v>
      </c>
      <c r="AB6" s="10">
        <f t="shared" si="0"/>
        <v>0.31996400000000003</v>
      </c>
    </row>
    <row r="7" spans="1:28" s="4" customFormat="1" ht="13" x14ac:dyDescent="0.3">
      <c r="A7" s="5">
        <v>1893</v>
      </c>
      <c r="B7" s="6" t="s">
        <v>28</v>
      </c>
      <c r="C7" s="7">
        <v>43567</v>
      </c>
      <c r="D7" s="8">
        <v>54</v>
      </c>
      <c r="E7" s="9" t="s">
        <v>51</v>
      </c>
      <c r="F7" s="8" t="s">
        <v>70</v>
      </c>
      <c r="G7" s="9" t="s">
        <v>71</v>
      </c>
      <c r="H7" s="8" t="str">
        <f>"000014"</f>
        <v>000014</v>
      </c>
      <c r="I7" s="7">
        <v>42625</v>
      </c>
      <c r="J7" s="8" t="str">
        <f>"000011"</f>
        <v>000011</v>
      </c>
      <c r="K7" s="7">
        <v>42825</v>
      </c>
      <c r="L7" s="8" t="str">
        <f>"000118"</f>
        <v>000118</v>
      </c>
      <c r="M7" s="7">
        <v>43483</v>
      </c>
      <c r="N7" s="8">
        <v>16</v>
      </c>
      <c r="O7" s="8" t="str">
        <f>"000995"</f>
        <v>000995</v>
      </c>
      <c r="P7" s="7">
        <v>43579</v>
      </c>
      <c r="Q7" s="10">
        <v>9.2265099999999993</v>
      </c>
      <c r="R7" s="10">
        <v>1.13419</v>
      </c>
      <c r="S7" s="10">
        <v>8.0923200000000008</v>
      </c>
      <c r="T7" s="8">
        <v>17</v>
      </c>
      <c r="U7" s="7">
        <v>43567</v>
      </c>
      <c r="V7" s="8">
        <v>9845194409</v>
      </c>
      <c r="W7" s="9" t="s">
        <v>72</v>
      </c>
      <c r="X7" s="8" t="s">
        <v>29</v>
      </c>
      <c r="Y7" s="9" t="s">
        <v>30</v>
      </c>
      <c r="Z7" s="8" t="s">
        <v>46</v>
      </c>
      <c r="AA7" s="9" t="s">
        <v>47</v>
      </c>
      <c r="AB7" s="10">
        <f t="shared" si="0"/>
        <v>9.2265099999999989E-2</v>
      </c>
    </row>
    <row r="8" spans="1:28" s="4" customFormat="1" ht="13" x14ac:dyDescent="0.3">
      <c r="A8" s="5">
        <v>1894</v>
      </c>
      <c r="B8" s="6" t="s">
        <v>28</v>
      </c>
      <c r="C8" s="7">
        <v>43571</v>
      </c>
      <c r="D8" s="8">
        <v>54</v>
      </c>
      <c r="E8" s="9" t="s">
        <v>51</v>
      </c>
      <c r="F8" s="8" t="s">
        <v>73</v>
      </c>
      <c r="G8" s="9" t="s">
        <v>74</v>
      </c>
      <c r="H8" s="8" t="str">
        <f>"000009"</f>
        <v>000009</v>
      </c>
      <c r="I8" s="7">
        <v>42826</v>
      </c>
      <c r="J8" s="8" t="str">
        <f>"000102"</f>
        <v>000102</v>
      </c>
      <c r="K8" s="7">
        <v>43500</v>
      </c>
      <c r="L8" s="8" t="str">
        <f>"000255"</f>
        <v>000255</v>
      </c>
      <c r="M8" s="7">
        <v>43500</v>
      </c>
      <c r="N8" s="8">
        <v>17</v>
      </c>
      <c r="O8" s="8" t="str">
        <f>"000539"</f>
        <v>000539</v>
      </c>
      <c r="P8" s="7">
        <v>43569</v>
      </c>
      <c r="Q8" s="10">
        <v>19.998750000000001</v>
      </c>
      <c r="R8" s="10">
        <v>1.9999800000000001</v>
      </c>
      <c r="S8" s="10">
        <v>17.99877</v>
      </c>
      <c r="T8" s="8">
        <v>18</v>
      </c>
      <c r="U8" s="7">
        <v>43571</v>
      </c>
      <c r="V8" s="8">
        <v>9480828222</v>
      </c>
      <c r="W8" s="9" t="s">
        <v>43</v>
      </c>
      <c r="X8" s="8" t="s">
        <v>48</v>
      </c>
      <c r="Y8" s="9" t="s">
        <v>49</v>
      </c>
      <c r="Z8" s="8" t="s">
        <v>57</v>
      </c>
      <c r="AA8" s="9" t="s">
        <v>58</v>
      </c>
      <c r="AB8" s="10">
        <f t="shared" si="0"/>
        <v>0.19998750000000001</v>
      </c>
    </row>
    <row r="9" spans="1:28" s="4" customFormat="1" ht="13" x14ac:dyDescent="0.3">
      <c r="A9" s="5">
        <v>1895</v>
      </c>
      <c r="B9" s="6" t="s">
        <v>28</v>
      </c>
      <c r="C9" s="7">
        <v>43580</v>
      </c>
      <c r="D9" s="8">
        <v>54</v>
      </c>
      <c r="E9" s="9" t="s">
        <v>51</v>
      </c>
      <c r="F9" s="8" t="s">
        <v>70</v>
      </c>
      <c r="G9" s="9" t="s">
        <v>71</v>
      </c>
      <c r="H9" s="8" t="str">
        <f>"000014"</f>
        <v>000014</v>
      </c>
      <c r="I9" s="7">
        <v>42625</v>
      </c>
      <c r="J9" s="8" t="str">
        <f>"000002"</f>
        <v>000002</v>
      </c>
      <c r="K9" s="7">
        <v>43565</v>
      </c>
      <c r="L9" s="8" t="str">
        <f>"000002"</f>
        <v>000002</v>
      </c>
      <c r="M9" s="7">
        <v>43565</v>
      </c>
      <c r="N9" s="8">
        <v>16</v>
      </c>
      <c r="O9" s="8" t="str">
        <f>""</f>
        <v/>
      </c>
      <c r="P9" s="7"/>
      <c r="Q9" s="10">
        <v>9.2265099999999993</v>
      </c>
      <c r="R9" s="10">
        <v>1.13419</v>
      </c>
      <c r="S9" s="10">
        <v>8.0923200000000008</v>
      </c>
      <c r="T9" s="8">
        <v>29</v>
      </c>
      <c r="U9" s="7">
        <v>43580</v>
      </c>
      <c r="V9" s="8">
        <v>9845194409</v>
      </c>
      <c r="W9" s="9" t="s">
        <v>72</v>
      </c>
      <c r="X9" s="8" t="s">
        <v>29</v>
      </c>
      <c r="Y9" s="9" t="s">
        <v>30</v>
      </c>
      <c r="Z9" s="8" t="s">
        <v>46</v>
      </c>
      <c r="AA9" s="9" t="s">
        <v>47</v>
      </c>
      <c r="AB9" s="10">
        <f t="shared" si="0"/>
        <v>9.2265099999999989E-2</v>
      </c>
    </row>
    <row r="10" spans="1:28" s="4" customFormat="1" ht="13" x14ac:dyDescent="0.3">
      <c r="A10" s="5">
        <v>1896</v>
      </c>
      <c r="B10" s="6" t="s">
        <v>28</v>
      </c>
      <c r="C10" s="7">
        <v>43580</v>
      </c>
      <c r="D10" s="8">
        <v>54</v>
      </c>
      <c r="E10" s="9" t="s">
        <v>51</v>
      </c>
      <c r="F10" s="8" t="s">
        <v>70</v>
      </c>
      <c r="G10" s="9" t="s">
        <v>71</v>
      </c>
      <c r="H10" s="8" t="str">
        <f>"000014"</f>
        <v>000014</v>
      </c>
      <c r="I10" s="7">
        <v>42625</v>
      </c>
      <c r="J10" s="8" t="str">
        <f>"000002"</f>
        <v>000002</v>
      </c>
      <c r="K10" s="7">
        <v>43565</v>
      </c>
      <c r="L10" s="8" t="str">
        <f>"000002"</f>
        <v>000002</v>
      </c>
      <c r="M10" s="7">
        <v>43565</v>
      </c>
      <c r="N10" s="8">
        <v>16</v>
      </c>
      <c r="O10" s="8" t="str">
        <f>""</f>
        <v/>
      </c>
      <c r="P10" s="7"/>
      <c r="Q10" s="10">
        <v>9.2265200000000007</v>
      </c>
      <c r="R10" s="10">
        <v>1.13419</v>
      </c>
      <c r="S10" s="10">
        <v>8.0923300000000005</v>
      </c>
      <c r="T10" s="8">
        <v>29</v>
      </c>
      <c r="U10" s="7">
        <v>43580</v>
      </c>
      <c r="V10" s="8">
        <v>9845194409</v>
      </c>
      <c r="W10" s="9" t="s">
        <v>72</v>
      </c>
      <c r="X10" s="8" t="s">
        <v>29</v>
      </c>
      <c r="Y10" s="9" t="s">
        <v>30</v>
      </c>
      <c r="Z10" s="8" t="s">
        <v>46</v>
      </c>
      <c r="AA10" s="9" t="s">
        <v>47</v>
      </c>
      <c r="AB10" s="10">
        <f t="shared" si="0"/>
        <v>9.2265200000000006E-2</v>
      </c>
    </row>
    <row r="11" spans="1:28" s="4" customFormat="1" ht="13" x14ac:dyDescent="0.3">
      <c r="A11" s="5">
        <v>1897</v>
      </c>
      <c r="B11" s="6" t="s">
        <v>34</v>
      </c>
      <c r="C11" s="7">
        <v>43603</v>
      </c>
      <c r="D11" s="8">
        <v>54</v>
      </c>
      <c r="E11" s="9" t="s">
        <v>51</v>
      </c>
      <c r="F11" s="8" t="s">
        <v>68</v>
      </c>
      <c r="G11" s="9" t="s">
        <v>69</v>
      </c>
      <c r="H11" s="8" t="str">
        <f>"000056"</f>
        <v>000056</v>
      </c>
      <c r="I11" s="7">
        <v>43536</v>
      </c>
      <c r="J11" s="8" t="str">
        <f>"000016"</f>
        <v>000016</v>
      </c>
      <c r="K11" s="7">
        <v>43612</v>
      </c>
      <c r="L11" s="8" t="str">
        <f>"000022"</f>
        <v>000022</v>
      </c>
      <c r="M11" s="7">
        <v>43612</v>
      </c>
      <c r="N11" s="8">
        <v>17</v>
      </c>
      <c r="O11" s="8" t="str">
        <f>""</f>
        <v/>
      </c>
      <c r="P11" s="7"/>
      <c r="Q11" s="10">
        <v>24.155999999999999</v>
      </c>
      <c r="R11" s="10">
        <v>1.0234000000000001</v>
      </c>
      <c r="S11" s="10">
        <v>23.1326</v>
      </c>
      <c r="T11" s="8">
        <v>51</v>
      </c>
      <c r="U11" s="7">
        <v>43603</v>
      </c>
      <c r="V11" s="8">
        <v>9980005471</v>
      </c>
      <c r="W11" s="9" t="s">
        <v>67</v>
      </c>
      <c r="X11" s="8" t="s">
        <v>35</v>
      </c>
      <c r="Y11" s="9" t="s">
        <v>36</v>
      </c>
      <c r="Z11" s="8" t="s">
        <v>37</v>
      </c>
      <c r="AA11" s="9" t="s">
        <v>38</v>
      </c>
      <c r="AB11" s="10">
        <f t="shared" si="0"/>
        <v>0.24156</v>
      </c>
    </row>
    <row r="12" spans="1:28" s="4" customFormat="1" ht="13" x14ac:dyDescent="0.3">
      <c r="A12" s="5">
        <v>1898</v>
      </c>
      <c r="B12" s="6" t="s">
        <v>34</v>
      </c>
      <c r="C12" s="7">
        <v>43603</v>
      </c>
      <c r="D12" s="8">
        <v>54</v>
      </c>
      <c r="E12" s="9" t="s">
        <v>51</v>
      </c>
      <c r="F12" s="8" t="s">
        <v>65</v>
      </c>
      <c r="G12" s="9" t="s">
        <v>66</v>
      </c>
      <c r="H12" s="8" t="str">
        <f>"000057"</f>
        <v>000057</v>
      </c>
      <c r="I12" s="7">
        <v>43537</v>
      </c>
      <c r="J12" s="8" t="str">
        <f>"000017"</f>
        <v>000017</v>
      </c>
      <c r="K12" s="7">
        <v>43612</v>
      </c>
      <c r="L12" s="8" t="str">
        <f>"000023"</f>
        <v>000023</v>
      </c>
      <c r="M12" s="7">
        <v>43612</v>
      </c>
      <c r="N12" s="8">
        <v>17</v>
      </c>
      <c r="O12" s="8" t="str">
        <f>""</f>
        <v/>
      </c>
      <c r="P12" s="7"/>
      <c r="Q12" s="10">
        <v>35.439349999999997</v>
      </c>
      <c r="R12" s="10">
        <v>1.5466500000000001</v>
      </c>
      <c r="S12" s="10">
        <v>33.892699999999998</v>
      </c>
      <c r="T12" s="8">
        <v>51</v>
      </c>
      <c r="U12" s="7">
        <v>43603</v>
      </c>
      <c r="V12" s="8">
        <v>9980005471</v>
      </c>
      <c r="W12" s="9" t="s">
        <v>67</v>
      </c>
      <c r="X12" s="8" t="s">
        <v>35</v>
      </c>
      <c r="Y12" s="9" t="s">
        <v>36</v>
      </c>
      <c r="Z12" s="8" t="s">
        <v>37</v>
      </c>
      <c r="AA12" s="9" t="s">
        <v>38</v>
      </c>
      <c r="AB12" s="10">
        <f t="shared" si="0"/>
        <v>0.35439349999999997</v>
      </c>
    </row>
    <row r="13" spans="1:28" s="4" customFormat="1" ht="13" x14ac:dyDescent="0.3">
      <c r="A13" s="5">
        <v>1899</v>
      </c>
      <c r="B13" s="6" t="s">
        <v>34</v>
      </c>
      <c r="C13" s="7">
        <v>43603</v>
      </c>
      <c r="D13" s="8">
        <v>54</v>
      </c>
      <c r="E13" s="9" t="s">
        <v>51</v>
      </c>
      <c r="F13" s="8" t="s">
        <v>65</v>
      </c>
      <c r="G13" s="9" t="s">
        <v>66</v>
      </c>
      <c r="H13" s="8" t="str">
        <f>"000057"</f>
        <v>000057</v>
      </c>
      <c r="I13" s="7">
        <v>43537</v>
      </c>
      <c r="J13" s="8" t="str">
        <f>"000017"</f>
        <v>000017</v>
      </c>
      <c r="K13" s="7">
        <v>43612</v>
      </c>
      <c r="L13" s="8" t="str">
        <f>"000023"</f>
        <v>000023</v>
      </c>
      <c r="M13" s="7">
        <v>43612</v>
      </c>
      <c r="N13" s="8">
        <v>17</v>
      </c>
      <c r="O13" s="8" t="str">
        <f>""</f>
        <v/>
      </c>
      <c r="P13" s="7"/>
      <c r="Q13" s="10">
        <v>12.6312</v>
      </c>
      <c r="R13" s="10">
        <v>0.49095</v>
      </c>
      <c r="S13" s="10">
        <v>12.14025</v>
      </c>
      <c r="T13" s="8">
        <v>51</v>
      </c>
      <c r="U13" s="7">
        <v>43603</v>
      </c>
      <c r="V13" s="8">
        <v>9980005471</v>
      </c>
      <c r="W13" s="9" t="s">
        <v>67</v>
      </c>
      <c r="X13" s="8" t="s">
        <v>35</v>
      </c>
      <c r="Y13" s="9" t="s">
        <v>36</v>
      </c>
      <c r="Z13" s="8" t="s">
        <v>37</v>
      </c>
      <c r="AA13" s="9" t="s">
        <v>38</v>
      </c>
      <c r="AB13" s="10">
        <f t="shared" si="0"/>
        <v>0.12631200000000001</v>
      </c>
    </row>
    <row r="14" spans="1:28" s="4" customFormat="1" ht="13" x14ac:dyDescent="0.3">
      <c r="A14" s="5">
        <v>1900</v>
      </c>
      <c r="B14" s="6" t="s">
        <v>34</v>
      </c>
      <c r="C14" s="7">
        <v>43603</v>
      </c>
      <c r="D14" s="8">
        <v>54</v>
      </c>
      <c r="E14" s="9" t="s">
        <v>51</v>
      </c>
      <c r="F14" s="8" t="s">
        <v>68</v>
      </c>
      <c r="G14" s="9" t="s">
        <v>69</v>
      </c>
      <c r="H14" s="8" t="str">
        <f>"000056"</f>
        <v>000056</v>
      </c>
      <c r="I14" s="7">
        <v>43536</v>
      </c>
      <c r="J14" s="8" t="str">
        <f>"000016"</f>
        <v>000016</v>
      </c>
      <c r="K14" s="7">
        <v>43612</v>
      </c>
      <c r="L14" s="8" t="str">
        <f>"000022"</f>
        <v>000022</v>
      </c>
      <c r="M14" s="7">
        <v>43612</v>
      </c>
      <c r="N14" s="8">
        <v>17</v>
      </c>
      <c r="O14" s="8" t="str">
        <f>""</f>
        <v/>
      </c>
      <c r="P14" s="7"/>
      <c r="Q14" s="10">
        <v>12.5997</v>
      </c>
      <c r="R14" s="10">
        <v>0.48959999999999998</v>
      </c>
      <c r="S14" s="10">
        <v>12.110099999999999</v>
      </c>
      <c r="T14" s="8">
        <v>51</v>
      </c>
      <c r="U14" s="7">
        <v>43603</v>
      </c>
      <c r="V14" s="8">
        <v>9980005471</v>
      </c>
      <c r="W14" s="9" t="s">
        <v>67</v>
      </c>
      <c r="X14" s="8" t="s">
        <v>35</v>
      </c>
      <c r="Y14" s="9" t="s">
        <v>36</v>
      </c>
      <c r="Z14" s="8" t="s">
        <v>37</v>
      </c>
      <c r="AA14" s="9" t="s">
        <v>38</v>
      </c>
      <c r="AB14" s="10">
        <f t="shared" si="0"/>
        <v>0.125997</v>
      </c>
    </row>
    <row r="15" spans="1:28" s="4" customFormat="1" ht="13" x14ac:dyDescent="0.3">
      <c r="A15" s="5">
        <v>1901</v>
      </c>
      <c r="B15" s="6" t="s">
        <v>34</v>
      </c>
      <c r="C15" s="7">
        <v>43609</v>
      </c>
      <c r="D15" s="8">
        <v>54</v>
      </c>
      <c r="E15" s="9" t="s">
        <v>51</v>
      </c>
      <c r="F15" s="8" t="s">
        <v>85</v>
      </c>
      <c r="G15" s="9" t="s">
        <v>86</v>
      </c>
      <c r="H15" s="8" t="str">
        <f>"000142"</f>
        <v>000142</v>
      </c>
      <c r="I15" s="7">
        <v>42563</v>
      </c>
      <c r="J15" s="8" t="str">
        <f>"000046"</f>
        <v>000046</v>
      </c>
      <c r="K15" s="7">
        <v>43039</v>
      </c>
      <c r="L15" s="8" t="str">
        <f>"000117"</f>
        <v>000117</v>
      </c>
      <c r="M15" s="7">
        <v>43039</v>
      </c>
      <c r="N15" s="8">
        <v>16</v>
      </c>
      <c r="O15" s="8" t="str">
        <f>"001970"</f>
        <v>001970</v>
      </c>
      <c r="P15" s="7">
        <v>43607</v>
      </c>
      <c r="Q15" s="10">
        <v>19.021190000000001</v>
      </c>
      <c r="R15" s="10">
        <v>2.17395</v>
      </c>
      <c r="S15" s="10">
        <v>16.847239999999999</v>
      </c>
      <c r="T15" s="8">
        <v>57</v>
      </c>
      <c r="U15" s="7">
        <v>43609</v>
      </c>
      <c r="V15" s="8">
        <v>8123319006</v>
      </c>
      <c r="W15" s="9" t="s">
        <v>87</v>
      </c>
      <c r="X15" s="8" t="s">
        <v>48</v>
      </c>
      <c r="Y15" s="9" t="s">
        <v>49</v>
      </c>
      <c r="Z15" s="8" t="s">
        <v>57</v>
      </c>
      <c r="AA15" s="9" t="s">
        <v>58</v>
      </c>
      <c r="AB15" s="10">
        <f t="shared" si="0"/>
        <v>0.19021190000000002</v>
      </c>
    </row>
    <row r="16" spans="1:28" s="4" customFormat="1" ht="13" x14ac:dyDescent="0.3">
      <c r="A16" s="5">
        <v>1902</v>
      </c>
      <c r="B16" s="6" t="s">
        <v>34</v>
      </c>
      <c r="C16" s="7">
        <v>43609</v>
      </c>
      <c r="D16" s="8">
        <v>54</v>
      </c>
      <c r="E16" s="9" t="s">
        <v>51</v>
      </c>
      <c r="F16" s="8" t="s">
        <v>88</v>
      </c>
      <c r="G16" s="9" t="s">
        <v>89</v>
      </c>
      <c r="H16" s="8" t="str">
        <f>"000087"</f>
        <v>000087</v>
      </c>
      <c r="I16" s="7">
        <v>43038</v>
      </c>
      <c r="J16" s="8" t="str">
        <f>"000044"</f>
        <v>000044</v>
      </c>
      <c r="K16" s="7">
        <v>43038</v>
      </c>
      <c r="L16" s="8" t="str">
        <f>"000112"</f>
        <v>000112</v>
      </c>
      <c r="M16" s="7">
        <v>43038</v>
      </c>
      <c r="N16" s="8">
        <v>17</v>
      </c>
      <c r="O16" s="8" t="str">
        <f>"001978"</f>
        <v>001978</v>
      </c>
      <c r="P16" s="7">
        <v>43607</v>
      </c>
      <c r="Q16" s="10">
        <v>48.437779999999997</v>
      </c>
      <c r="R16" s="10">
        <v>5.4096700000000002</v>
      </c>
      <c r="S16" s="10">
        <v>43.028109999999998</v>
      </c>
      <c r="T16" s="8">
        <v>57</v>
      </c>
      <c r="U16" s="7">
        <v>43609</v>
      </c>
      <c r="V16" s="8">
        <v>9611508999</v>
      </c>
      <c r="W16" s="9" t="s">
        <v>50</v>
      </c>
      <c r="X16" s="8" t="s">
        <v>90</v>
      </c>
      <c r="Y16" s="9" t="s">
        <v>91</v>
      </c>
      <c r="Z16" s="8" t="s">
        <v>57</v>
      </c>
      <c r="AA16" s="9" t="s">
        <v>58</v>
      </c>
      <c r="AB16" s="10">
        <f t="shared" si="0"/>
        <v>0.48437779999999997</v>
      </c>
    </row>
    <row r="17" spans="1:28" s="4" customFormat="1" ht="13" x14ac:dyDescent="0.3">
      <c r="A17" s="5">
        <v>1903</v>
      </c>
      <c r="B17" s="6" t="s">
        <v>31</v>
      </c>
      <c r="C17" s="7">
        <v>43623</v>
      </c>
      <c r="D17" s="8">
        <v>54</v>
      </c>
      <c r="E17" s="9" t="s">
        <v>51</v>
      </c>
      <c r="F17" s="8" t="s">
        <v>70</v>
      </c>
      <c r="G17" s="9" t="s">
        <v>75</v>
      </c>
      <c r="H17" s="8" t="str">
        <f>"000014"</f>
        <v>000014</v>
      </c>
      <c r="I17" s="7">
        <v>42625</v>
      </c>
      <c r="J17" s="8" t="str">
        <f>"000016"</f>
        <v>000016</v>
      </c>
      <c r="K17" s="7">
        <v>43636</v>
      </c>
      <c r="L17" s="8" t="str">
        <f>"000016"</f>
        <v>000016</v>
      </c>
      <c r="M17" s="7">
        <v>43636</v>
      </c>
      <c r="N17" s="8">
        <v>16</v>
      </c>
      <c r="O17" s="8" t="str">
        <f>""</f>
        <v/>
      </c>
      <c r="P17" s="7"/>
      <c r="Q17" s="10">
        <v>9.2265200000000007</v>
      </c>
      <c r="R17" s="10">
        <v>1.19017</v>
      </c>
      <c r="S17" s="10">
        <v>8.0363500000000005</v>
      </c>
      <c r="T17" s="8">
        <v>73</v>
      </c>
      <c r="U17" s="7">
        <v>43623</v>
      </c>
      <c r="V17" s="8">
        <v>9845194409</v>
      </c>
      <c r="W17" s="9" t="s">
        <v>72</v>
      </c>
      <c r="X17" s="8" t="s">
        <v>29</v>
      </c>
      <c r="Y17" s="9" t="s">
        <v>30</v>
      </c>
      <c r="Z17" s="8" t="s">
        <v>46</v>
      </c>
      <c r="AA17" s="9" t="s">
        <v>47</v>
      </c>
      <c r="AB17" s="10">
        <v>9.2265200000000006E-2</v>
      </c>
    </row>
    <row r="18" spans="1:28" s="4" customFormat="1" ht="13" x14ac:dyDescent="0.3">
      <c r="A18" s="5">
        <v>1904</v>
      </c>
      <c r="B18" s="6" t="s">
        <v>31</v>
      </c>
      <c r="C18" s="7">
        <v>43623</v>
      </c>
      <c r="D18" s="8">
        <v>54</v>
      </c>
      <c r="E18" s="9" t="s">
        <v>51</v>
      </c>
      <c r="F18" s="8" t="s">
        <v>68</v>
      </c>
      <c r="G18" s="9" t="s">
        <v>69</v>
      </c>
      <c r="H18" s="8" t="str">
        <f>"000056"</f>
        <v>000056</v>
      </c>
      <c r="I18" s="7">
        <v>43536</v>
      </c>
      <c r="J18" s="8" t="str">
        <f>"000016"</f>
        <v>000016</v>
      </c>
      <c r="K18" s="7">
        <v>43612</v>
      </c>
      <c r="L18" s="8" t="str">
        <f>"000022"</f>
        <v>000022</v>
      </c>
      <c r="M18" s="7">
        <v>43612</v>
      </c>
      <c r="N18" s="8">
        <v>17</v>
      </c>
      <c r="O18" s="8" t="str">
        <f>"002523"</f>
        <v>002523</v>
      </c>
      <c r="P18" s="7">
        <v>43622</v>
      </c>
      <c r="Q18" s="10">
        <v>10.5069</v>
      </c>
      <c r="R18" s="10">
        <v>0.40839999999999999</v>
      </c>
      <c r="S18" s="10">
        <v>10.0985</v>
      </c>
      <c r="T18" s="8">
        <v>74</v>
      </c>
      <c r="U18" s="7">
        <v>43623</v>
      </c>
      <c r="V18" s="8">
        <v>9980005471</v>
      </c>
      <c r="W18" s="9" t="s">
        <v>67</v>
      </c>
      <c r="X18" s="8" t="s">
        <v>35</v>
      </c>
      <c r="Y18" s="9" t="s">
        <v>36</v>
      </c>
      <c r="Z18" s="8" t="s">
        <v>37</v>
      </c>
      <c r="AA18" s="9" t="s">
        <v>38</v>
      </c>
      <c r="AB18" s="10">
        <v>0.105069</v>
      </c>
    </row>
    <row r="19" spans="1:28" s="4" customFormat="1" ht="13" x14ac:dyDescent="0.3">
      <c r="A19" s="5">
        <v>1905</v>
      </c>
      <c r="B19" s="6" t="s">
        <v>31</v>
      </c>
      <c r="C19" s="7">
        <v>43623</v>
      </c>
      <c r="D19" s="8">
        <v>54</v>
      </c>
      <c r="E19" s="9" t="s">
        <v>51</v>
      </c>
      <c r="F19" s="8" t="s">
        <v>65</v>
      </c>
      <c r="G19" s="9" t="s">
        <v>66</v>
      </c>
      <c r="H19" s="8" t="str">
        <f>"000057"</f>
        <v>000057</v>
      </c>
      <c r="I19" s="7">
        <v>43537</v>
      </c>
      <c r="J19" s="8" t="str">
        <f>"000017"</f>
        <v>000017</v>
      </c>
      <c r="K19" s="7">
        <v>43612</v>
      </c>
      <c r="L19" s="8" t="str">
        <f>"000023"</f>
        <v>000023</v>
      </c>
      <c r="M19" s="7">
        <v>43612</v>
      </c>
      <c r="N19" s="8">
        <v>17</v>
      </c>
      <c r="O19" s="8" t="str">
        <f>"002524"</f>
        <v>002524</v>
      </c>
      <c r="P19" s="7">
        <v>43622</v>
      </c>
      <c r="Q19" s="10">
        <v>29.7575</v>
      </c>
      <c r="R19" s="10">
        <v>1.6967000000000001</v>
      </c>
      <c r="S19" s="10">
        <v>28.0608</v>
      </c>
      <c r="T19" s="8">
        <v>74</v>
      </c>
      <c r="U19" s="7">
        <v>43623</v>
      </c>
      <c r="V19" s="8">
        <v>9980005471</v>
      </c>
      <c r="W19" s="9" t="s">
        <v>67</v>
      </c>
      <c r="X19" s="8" t="s">
        <v>35</v>
      </c>
      <c r="Y19" s="9" t="s">
        <v>36</v>
      </c>
      <c r="Z19" s="8" t="s">
        <v>37</v>
      </c>
      <c r="AA19" s="9" t="s">
        <v>38</v>
      </c>
      <c r="AB19" s="10">
        <v>0.29757499999999998</v>
      </c>
    </row>
    <row r="20" spans="1:28" s="4" customFormat="1" ht="13" x14ac:dyDescent="0.3">
      <c r="A20" s="5">
        <v>1906</v>
      </c>
      <c r="B20" s="6" t="s">
        <v>31</v>
      </c>
      <c r="C20" s="7">
        <v>43628</v>
      </c>
      <c r="D20" s="8">
        <v>54</v>
      </c>
      <c r="E20" s="9" t="s">
        <v>51</v>
      </c>
      <c r="F20" s="8" t="s">
        <v>76</v>
      </c>
      <c r="G20" s="9" t="s">
        <v>77</v>
      </c>
      <c r="H20" s="8" t="str">
        <f>"000069"</f>
        <v>000069</v>
      </c>
      <c r="I20" s="7">
        <v>42991</v>
      </c>
      <c r="J20" s="8" t="str">
        <f>"000052"</f>
        <v>000052</v>
      </c>
      <c r="K20" s="7">
        <v>43089</v>
      </c>
      <c r="L20" s="8" t="str">
        <f>"000151"</f>
        <v>000151</v>
      </c>
      <c r="M20" s="7">
        <v>43089</v>
      </c>
      <c r="N20" s="8">
        <v>17</v>
      </c>
      <c r="O20" s="8" t="str">
        <f>"002582"</f>
        <v>002582</v>
      </c>
      <c r="P20" s="7">
        <v>43627</v>
      </c>
      <c r="Q20" s="10">
        <v>14.53463</v>
      </c>
      <c r="R20" s="10">
        <v>1.79739</v>
      </c>
      <c r="S20" s="10">
        <v>12.73724</v>
      </c>
      <c r="T20" s="8">
        <v>76</v>
      </c>
      <c r="U20" s="7">
        <v>43628</v>
      </c>
      <c r="V20" s="8">
        <v>9164137081</v>
      </c>
      <c r="W20" s="9" t="s">
        <v>78</v>
      </c>
      <c r="X20" s="8" t="s">
        <v>32</v>
      </c>
      <c r="Y20" s="9" t="s">
        <v>33</v>
      </c>
      <c r="Z20" s="8" t="s">
        <v>57</v>
      </c>
      <c r="AA20" s="9" t="s">
        <v>58</v>
      </c>
      <c r="AB20" s="10">
        <v>0.14534630000000001</v>
      </c>
    </row>
    <row r="21" spans="1:28" s="4" customFormat="1" ht="13" x14ac:dyDescent="0.3">
      <c r="A21" s="5">
        <v>1907</v>
      </c>
      <c r="B21" s="6" t="s">
        <v>31</v>
      </c>
      <c r="C21" s="7">
        <v>43636</v>
      </c>
      <c r="D21" s="8">
        <v>54</v>
      </c>
      <c r="E21" s="9" t="s">
        <v>51</v>
      </c>
      <c r="F21" s="8" t="s">
        <v>79</v>
      </c>
      <c r="G21" s="9" t="s">
        <v>80</v>
      </c>
      <c r="H21" s="8" t="str">
        <f>"000365"</f>
        <v>000365</v>
      </c>
      <c r="I21" s="7">
        <v>43555</v>
      </c>
      <c r="J21" s="8" t="str">
        <f>"000124"</f>
        <v>000124</v>
      </c>
      <c r="K21" s="7">
        <v>43555</v>
      </c>
      <c r="L21" s="8" t="str">
        <f>"000304"</f>
        <v>000304</v>
      </c>
      <c r="M21" s="7">
        <v>43555</v>
      </c>
      <c r="N21" s="8">
        <v>19</v>
      </c>
      <c r="O21" s="8" t="str">
        <f>"002820"</f>
        <v>002820</v>
      </c>
      <c r="P21" s="7">
        <v>43633</v>
      </c>
      <c r="Q21" s="10">
        <v>99.694800000000001</v>
      </c>
      <c r="R21" s="10">
        <v>10.97354</v>
      </c>
      <c r="S21" s="10">
        <v>88.721260000000001</v>
      </c>
      <c r="T21" s="8">
        <v>90</v>
      </c>
      <c r="U21" s="7">
        <v>43636</v>
      </c>
      <c r="V21" s="8">
        <v>9480828222</v>
      </c>
      <c r="W21" s="9" t="s">
        <v>81</v>
      </c>
      <c r="X21" s="8" t="s">
        <v>41</v>
      </c>
      <c r="Y21" s="9" t="s">
        <v>42</v>
      </c>
      <c r="Z21" s="8" t="s">
        <v>57</v>
      </c>
      <c r="AA21" s="9" t="s">
        <v>58</v>
      </c>
      <c r="AB21" s="10">
        <v>0.99694800000000006</v>
      </c>
    </row>
    <row r="22" spans="1:28" s="4" customFormat="1" ht="13" x14ac:dyDescent="0.3">
      <c r="A22" s="5">
        <v>1908</v>
      </c>
      <c r="B22" s="6" t="s">
        <v>31</v>
      </c>
      <c r="C22" s="7">
        <v>43636</v>
      </c>
      <c r="D22" s="8">
        <v>54</v>
      </c>
      <c r="E22" s="9" t="s">
        <v>51</v>
      </c>
      <c r="F22" s="8" t="s">
        <v>82</v>
      </c>
      <c r="G22" s="9" t="s">
        <v>83</v>
      </c>
      <c r="H22" s="8" t="str">
        <f>"000366"</f>
        <v>000366</v>
      </c>
      <c r="I22" s="7">
        <v>43555</v>
      </c>
      <c r="J22" s="8" t="str">
        <f>"000125"</f>
        <v>000125</v>
      </c>
      <c r="K22" s="7">
        <v>43555</v>
      </c>
      <c r="L22" s="8" t="str">
        <f>"000309"</f>
        <v>000309</v>
      </c>
      <c r="M22" s="7">
        <v>43555</v>
      </c>
      <c r="N22" s="8">
        <v>19</v>
      </c>
      <c r="O22" s="8" t="str">
        <f>"002822"</f>
        <v>002822</v>
      </c>
      <c r="P22" s="7">
        <v>43633</v>
      </c>
      <c r="Q22" s="10">
        <v>99.754999999999995</v>
      </c>
      <c r="R22" s="10">
        <v>10.975949999999999</v>
      </c>
      <c r="S22" s="10">
        <v>88.779049999999998</v>
      </c>
      <c r="T22" s="8">
        <v>90</v>
      </c>
      <c r="U22" s="7">
        <v>43636</v>
      </c>
      <c r="V22" s="8">
        <v>9480828222</v>
      </c>
      <c r="W22" s="9" t="s">
        <v>84</v>
      </c>
      <c r="X22" s="8" t="s">
        <v>41</v>
      </c>
      <c r="Y22" s="9" t="s">
        <v>42</v>
      </c>
      <c r="Z22" s="8" t="s">
        <v>57</v>
      </c>
      <c r="AA22" s="9" t="s">
        <v>58</v>
      </c>
      <c r="AB22" s="10">
        <v>0.99754999999999994</v>
      </c>
    </row>
    <row r="23" spans="1:28" s="4" customFormat="1" ht="13" x14ac:dyDescent="0.3">
      <c r="A23" s="5">
        <v>1909</v>
      </c>
      <c r="B23" s="6" t="s">
        <v>92</v>
      </c>
      <c r="C23" s="7">
        <v>43647</v>
      </c>
      <c r="D23" s="8">
        <v>54</v>
      </c>
      <c r="E23" s="9" t="s">
        <v>51</v>
      </c>
      <c r="F23" s="8" t="s">
        <v>93</v>
      </c>
      <c r="G23" s="11" t="s">
        <v>94</v>
      </c>
      <c r="H23" s="8" t="str">
        <f>"000064"</f>
        <v>000064</v>
      </c>
      <c r="I23" s="7">
        <v>42989</v>
      </c>
      <c r="J23" s="8" t="str">
        <f>"000065"</f>
        <v>000065</v>
      </c>
      <c r="K23" s="7">
        <v>43112</v>
      </c>
      <c r="L23" s="8" t="str">
        <f>"000201"</f>
        <v>000201</v>
      </c>
      <c r="M23" s="7">
        <v>43112</v>
      </c>
      <c r="N23" s="8">
        <v>17</v>
      </c>
      <c r="O23" s="8" t="str">
        <f>"003044"</f>
        <v>003044</v>
      </c>
      <c r="P23" s="7">
        <v>43640</v>
      </c>
      <c r="Q23" s="12">
        <v>44.642800000000001</v>
      </c>
      <c r="R23" s="12">
        <v>5.0367499999999996</v>
      </c>
      <c r="S23" s="12">
        <v>39.606050000000003</v>
      </c>
      <c r="T23" s="8">
        <v>96</v>
      </c>
      <c r="U23" s="7">
        <v>43647</v>
      </c>
      <c r="V23" s="8">
        <v>9611508999</v>
      </c>
      <c r="W23" s="11" t="s">
        <v>95</v>
      </c>
      <c r="X23" s="8" t="s">
        <v>32</v>
      </c>
      <c r="Y23" s="11" t="s">
        <v>33</v>
      </c>
      <c r="Z23" s="8" t="s">
        <v>57</v>
      </c>
      <c r="AA23" s="11" t="s">
        <v>58</v>
      </c>
      <c r="AB23" s="12">
        <f t="shared" ref="AB23:AB44" si="1">Q23/100</f>
        <v>0.44642799999999999</v>
      </c>
    </row>
    <row r="24" spans="1:28" s="4" customFormat="1" ht="13" x14ac:dyDescent="0.3">
      <c r="A24" s="5">
        <v>1910</v>
      </c>
      <c r="B24" s="6" t="s">
        <v>92</v>
      </c>
      <c r="C24" s="7">
        <v>43647</v>
      </c>
      <c r="D24" s="8">
        <v>54</v>
      </c>
      <c r="E24" s="9" t="s">
        <v>51</v>
      </c>
      <c r="F24" s="8" t="s">
        <v>96</v>
      </c>
      <c r="G24" s="11" t="s">
        <v>97</v>
      </c>
      <c r="H24" s="8" t="str">
        <f>"000139"</f>
        <v>000139</v>
      </c>
      <c r="I24" s="7">
        <v>43125</v>
      </c>
      <c r="J24" s="8" t="str">
        <f>"000075"</f>
        <v>000075</v>
      </c>
      <c r="K24" s="7">
        <v>43125</v>
      </c>
      <c r="L24" s="8" t="str">
        <f>"000222"</f>
        <v>000222</v>
      </c>
      <c r="M24" s="7">
        <v>43125</v>
      </c>
      <c r="N24" s="8">
        <v>17</v>
      </c>
      <c r="O24" s="8" t="str">
        <f>"003134"</f>
        <v>003134</v>
      </c>
      <c r="P24" s="7">
        <v>43643</v>
      </c>
      <c r="Q24" s="12">
        <v>14.91042</v>
      </c>
      <c r="R24" s="12">
        <v>1.66665</v>
      </c>
      <c r="S24" s="12">
        <v>13.24377</v>
      </c>
      <c r="T24" s="8">
        <v>96</v>
      </c>
      <c r="U24" s="7">
        <v>43647</v>
      </c>
      <c r="V24" s="8">
        <v>9611508999</v>
      </c>
      <c r="W24" s="11" t="s">
        <v>50</v>
      </c>
      <c r="X24" s="8" t="s">
        <v>32</v>
      </c>
      <c r="Y24" s="11" t="s">
        <v>33</v>
      </c>
      <c r="Z24" s="8" t="s">
        <v>57</v>
      </c>
      <c r="AA24" s="11" t="s">
        <v>58</v>
      </c>
      <c r="AB24" s="12">
        <f t="shared" si="1"/>
        <v>0.14910419999999999</v>
      </c>
    </row>
    <row r="25" spans="1:28" s="4" customFormat="1" ht="13" x14ac:dyDescent="0.3">
      <c r="A25" s="5">
        <v>1911</v>
      </c>
      <c r="B25" s="6" t="s">
        <v>92</v>
      </c>
      <c r="C25" s="7">
        <v>43647</v>
      </c>
      <c r="D25" s="8">
        <v>54</v>
      </c>
      <c r="E25" s="9" t="s">
        <v>51</v>
      </c>
      <c r="F25" s="8" t="s">
        <v>98</v>
      </c>
      <c r="G25" s="11" t="s">
        <v>99</v>
      </c>
      <c r="H25" s="8" t="str">
        <f>"000075"</f>
        <v>000075</v>
      </c>
      <c r="I25" s="7">
        <v>43012</v>
      </c>
      <c r="J25" s="8" t="str">
        <f>"000074"</f>
        <v>000074</v>
      </c>
      <c r="K25" s="7">
        <v>43125</v>
      </c>
      <c r="L25" s="8" t="str">
        <f>"000223"</f>
        <v>000223</v>
      </c>
      <c r="M25" s="7">
        <v>43125</v>
      </c>
      <c r="N25" s="8">
        <v>17</v>
      </c>
      <c r="O25" s="8" t="str">
        <f>"003135"</f>
        <v>003135</v>
      </c>
      <c r="P25" s="7">
        <v>43643</v>
      </c>
      <c r="Q25" s="12">
        <v>18.844200000000001</v>
      </c>
      <c r="R25" s="12">
        <v>2.1074999999999999</v>
      </c>
      <c r="S25" s="12">
        <v>16.736699999999999</v>
      </c>
      <c r="T25" s="8">
        <v>96</v>
      </c>
      <c r="U25" s="7">
        <v>43647</v>
      </c>
      <c r="V25" s="8">
        <v>9900103778</v>
      </c>
      <c r="W25" s="11" t="s">
        <v>100</v>
      </c>
      <c r="X25" s="8" t="s">
        <v>32</v>
      </c>
      <c r="Y25" s="11" t="s">
        <v>33</v>
      </c>
      <c r="Z25" s="8" t="s">
        <v>57</v>
      </c>
      <c r="AA25" s="11" t="s">
        <v>58</v>
      </c>
      <c r="AB25" s="12">
        <f t="shared" si="1"/>
        <v>0.188442</v>
      </c>
    </row>
    <row r="26" spans="1:28" s="4" customFormat="1" ht="13" x14ac:dyDescent="0.3">
      <c r="A26" s="5">
        <v>1912</v>
      </c>
      <c r="B26" s="6" t="s">
        <v>92</v>
      </c>
      <c r="C26" s="7">
        <v>43654</v>
      </c>
      <c r="D26" s="8">
        <v>54</v>
      </c>
      <c r="E26" s="9" t="s">
        <v>51</v>
      </c>
      <c r="F26" s="8" t="s">
        <v>70</v>
      </c>
      <c r="G26" s="11" t="s">
        <v>71</v>
      </c>
      <c r="H26" s="8" t="str">
        <f>"000014"</f>
        <v>000014</v>
      </c>
      <c r="I26" s="7">
        <v>42625</v>
      </c>
      <c r="J26" s="8" t="str">
        <f>"000035"</f>
        <v>000035</v>
      </c>
      <c r="K26" s="7">
        <v>43725</v>
      </c>
      <c r="L26" s="8" t="str">
        <f>"000035"</f>
        <v>000035</v>
      </c>
      <c r="M26" s="7">
        <v>43725</v>
      </c>
      <c r="N26" s="8">
        <v>16</v>
      </c>
      <c r="O26" s="8" t="str">
        <f>"005495"</f>
        <v>005495</v>
      </c>
      <c r="P26" s="7">
        <v>43739</v>
      </c>
      <c r="Q26" s="12">
        <v>9.2269199999999998</v>
      </c>
      <c r="R26" s="12">
        <v>1.1144499999999999</v>
      </c>
      <c r="S26" s="12">
        <v>8.1124700000000001</v>
      </c>
      <c r="T26" s="8">
        <v>109</v>
      </c>
      <c r="U26" s="7">
        <v>43654</v>
      </c>
      <c r="V26" s="8">
        <v>9845194409</v>
      </c>
      <c r="W26" s="11" t="s">
        <v>72</v>
      </c>
      <c r="X26" s="8" t="s">
        <v>29</v>
      </c>
      <c r="Y26" s="11" t="s">
        <v>30</v>
      </c>
      <c r="Z26" s="8" t="s">
        <v>46</v>
      </c>
      <c r="AA26" s="11" t="s">
        <v>47</v>
      </c>
      <c r="AB26" s="12">
        <f t="shared" si="1"/>
        <v>9.2269199999999996E-2</v>
      </c>
    </row>
    <row r="27" spans="1:28" s="4" customFormat="1" ht="13" x14ac:dyDescent="0.3">
      <c r="A27" s="5">
        <v>1913</v>
      </c>
      <c r="B27" s="6" t="s">
        <v>92</v>
      </c>
      <c r="C27" s="7">
        <v>43669</v>
      </c>
      <c r="D27" s="8">
        <v>54</v>
      </c>
      <c r="E27" s="9" t="s">
        <v>51</v>
      </c>
      <c r="F27" s="8" t="s">
        <v>101</v>
      </c>
      <c r="G27" s="11" t="s">
        <v>102</v>
      </c>
      <c r="H27" s="8" t="str">
        <f>"000080"</f>
        <v>000080</v>
      </c>
      <c r="I27" s="7">
        <v>42406</v>
      </c>
      <c r="J27" s="8" t="str">
        <f>"000055"</f>
        <v>000055</v>
      </c>
      <c r="K27" s="7">
        <v>43099</v>
      </c>
      <c r="L27" s="8" t="str">
        <f>"000178"</f>
        <v>000178</v>
      </c>
      <c r="M27" s="7">
        <v>43099</v>
      </c>
      <c r="N27" s="8">
        <v>16</v>
      </c>
      <c r="O27" s="8" t="str">
        <f>"003645"</f>
        <v>003645</v>
      </c>
      <c r="P27" s="7">
        <v>43664</v>
      </c>
      <c r="Q27" s="12">
        <v>9.8349299999999999</v>
      </c>
      <c r="R27" s="12">
        <v>1.07961</v>
      </c>
      <c r="S27" s="12">
        <v>8.7553199999999993</v>
      </c>
      <c r="T27" s="8">
        <v>122</v>
      </c>
      <c r="U27" s="7">
        <v>43669</v>
      </c>
      <c r="V27" s="8">
        <v>9535810447</v>
      </c>
      <c r="W27" s="11" t="s">
        <v>103</v>
      </c>
      <c r="X27" s="8" t="s">
        <v>32</v>
      </c>
      <c r="Y27" s="11" t="s">
        <v>33</v>
      </c>
      <c r="Z27" s="8" t="s">
        <v>57</v>
      </c>
      <c r="AA27" s="11" t="s">
        <v>58</v>
      </c>
      <c r="AB27" s="12">
        <f t="shared" si="1"/>
        <v>9.8349300000000001E-2</v>
      </c>
    </row>
    <row r="28" spans="1:28" s="4" customFormat="1" ht="13" x14ac:dyDescent="0.3">
      <c r="A28" s="5">
        <v>1914</v>
      </c>
      <c r="B28" s="6" t="s">
        <v>92</v>
      </c>
      <c r="C28" s="7">
        <v>43672</v>
      </c>
      <c r="D28" s="8">
        <v>54</v>
      </c>
      <c r="E28" s="9" t="s">
        <v>51</v>
      </c>
      <c r="F28" s="8" t="s">
        <v>104</v>
      </c>
      <c r="G28" s="11" t="s">
        <v>105</v>
      </c>
      <c r="H28" s="8" t="str">
        <f>"000050"</f>
        <v>000050</v>
      </c>
      <c r="I28" s="7">
        <v>43633</v>
      </c>
      <c r="J28" s="8" t="str">
        <f>"000026"</f>
        <v>000026</v>
      </c>
      <c r="K28" s="7">
        <v>43634</v>
      </c>
      <c r="L28" s="8" t="str">
        <f>"000046"</f>
        <v>000046</v>
      </c>
      <c r="M28" s="7">
        <v>43634</v>
      </c>
      <c r="N28" s="8">
        <v>18</v>
      </c>
      <c r="O28" s="8" t="str">
        <f>"003902"</f>
        <v>003902</v>
      </c>
      <c r="P28" s="7">
        <v>43669</v>
      </c>
      <c r="Q28" s="12">
        <v>14.515230000000001</v>
      </c>
      <c r="R28" s="12">
        <v>1.41479</v>
      </c>
      <c r="S28" s="12">
        <v>13.100440000000001</v>
      </c>
      <c r="T28" s="8">
        <v>128</v>
      </c>
      <c r="U28" s="7">
        <v>43672</v>
      </c>
      <c r="V28" s="8">
        <v>9480828222</v>
      </c>
      <c r="W28" s="11" t="s">
        <v>106</v>
      </c>
      <c r="X28" s="8" t="s">
        <v>107</v>
      </c>
      <c r="Y28" s="11" t="s">
        <v>108</v>
      </c>
      <c r="Z28" s="8" t="s">
        <v>57</v>
      </c>
      <c r="AA28" s="11" t="s">
        <v>58</v>
      </c>
      <c r="AB28" s="12">
        <f t="shared" si="1"/>
        <v>0.14515230000000001</v>
      </c>
    </row>
    <row r="29" spans="1:28" s="4" customFormat="1" ht="13" x14ac:dyDescent="0.3">
      <c r="A29" s="5">
        <v>1915</v>
      </c>
      <c r="B29" s="6" t="s">
        <v>92</v>
      </c>
      <c r="C29" s="7">
        <v>43677</v>
      </c>
      <c r="D29" s="8">
        <v>54</v>
      </c>
      <c r="E29" s="9" t="s">
        <v>51</v>
      </c>
      <c r="F29" s="8" t="s">
        <v>109</v>
      </c>
      <c r="G29" s="11" t="s">
        <v>110</v>
      </c>
      <c r="H29" s="8" t="str">
        <f>"000124"</f>
        <v>000124</v>
      </c>
      <c r="I29" s="7">
        <v>42886</v>
      </c>
      <c r="J29" s="8" t="str">
        <f>"000088"</f>
        <v>000088</v>
      </c>
      <c r="K29" s="7">
        <v>43158</v>
      </c>
      <c r="L29" s="8" t="str">
        <f>"000264"</f>
        <v>000264</v>
      </c>
      <c r="M29" s="7">
        <v>43158</v>
      </c>
      <c r="N29" s="8">
        <v>17</v>
      </c>
      <c r="O29" s="8" t="str">
        <f>"004015"</f>
        <v>004015</v>
      </c>
      <c r="P29" s="7">
        <v>43671</v>
      </c>
      <c r="Q29" s="12">
        <v>19.897480000000002</v>
      </c>
      <c r="R29" s="12">
        <v>2.2654299999999998</v>
      </c>
      <c r="S29" s="12">
        <v>17.63205</v>
      </c>
      <c r="T29" s="8">
        <v>135</v>
      </c>
      <c r="U29" s="7">
        <v>43677</v>
      </c>
      <c r="V29" s="8">
        <v>9845726229</v>
      </c>
      <c r="W29" s="11" t="s">
        <v>111</v>
      </c>
      <c r="X29" s="8" t="s">
        <v>32</v>
      </c>
      <c r="Y29" s="11" t="s">
        <v>33</v>
      </c>
      <c r="Z29" s="8" t="s">
        <v>57</v>
      </c>
      <c r="AA29" s="11" t="s">
        <v>58</v>
      </c>
      <c r="AB29" s="12">
        <f t="shared" si="1"/>
        <v>0.19897480000000001</v>
      </c>
    </row>
    <row r="30" spans="1:28" s="4" customFormat="1" ht="13" x14ac:dyDescent="0.3">
      <c r="A30" s="5">
        <v>1916</v>
      </c>
      <c r="B30" s="6" t="s">
        <v>112</v>
      </c>
      <c r="C30" s="7">
        <v>43684</v>
      </c>
      <c r="D30" s="8">
        <v>54</v>
      </c>
      <c r="E30" s="9" t="s">
        <v>51</v>
      </c>
      <c r="F30" s="8" t="s">
        <v>113</v>
      </c>
      <c r="G30" s="11" t="s">
        <v>114</v>
      </c>
      <c r="H30" s="8" t="str">
        <f>"000175"</f>
        <v>000175</v>
      </c>
      <c r="I30" s="7">
        <v>43164</v>
      </c>
      <c r="J30" s="8" t="str">
        <f>"000091"</f>
        <v>000091</v>
      </c>
      <c r="K30" s="7">
        <v>43165</v>
      </c>
      <c r="L30" s="8" t="str">
        <f>"000268"</f>
        <v>000268</v>
      </c>
      <c r="M30" s="7">
        <v>43165</v>
      </c>
      <c r="N30" s="8">
        <v>17</v>
      </c>
      <c r="O30" s="8" t="str">
        <f>"004237"</f>
        <v>004237</v>
      </c>
      <c r="P30" s="7">
        <v>43680</v>
      </c>
      <c r="Q30" s="12">
        <v>48.523119999999999</v>
      </c>
      <c r="R30" s="12">
        <v>5.9028600000000004</v>
      </c>
      <c r="S30" s="12">
        <v>42.620260000000002</v>
      </c>
      <c r="T30" s="8">
        <v>144</v>
      </c>
      <c r="U30" s="7">
        <v>43684</v>
      </c>
      <c r="V30" s="8">
        <v>9480828222</v>
      </c>
      <c r="W30" s="11" t="s">
        <v>115</v>
      </c>
      <c r="X30" s="8" t="s">
        <v>116</v>
      </c>
      <c r="Y30" s="11" t="s">
        <v>117</v>
      </c>
      <c r="Z30" s="8" t="s">
        <v>57</v>
      </c>
      <c r="AA30" s="11" t="s">
        <v>58</v>
      </c>
      <c r="AB30" s="12">
        <f t="shared" si="1"/>
        <v>0.48523119999999997</v>
      </c>
    </row>
    <row r="31" spans="1:28" s="4" customFormat="1" ht="13" x14ac:dyDescent="0.3">
      <c r="A31" s="5">
        <v>1917</v>
      </c>
      <c r="B31" s="6" t="s">
        <v>112</v>
      </c>
      <c r="C31" s="7">
        <v>43690</v>
      </c>
      <c r="D31" s="8">
        <v>54</v>
      </c>
      <c r="E31" s="9" t="s">
        <v>51</v>
      </c>
      <c r="F31" s="8" t="s">
        <v>118</v>
      </c>
      <c r="G31" s="11" t="s">
        <v>119</v>
      </c>
      <c r="H31" s="8" t="str">
        <f>"000262"</f>
        <v>000262</v>
      </c>
      <c r="I31" s="7">
        <v>43506</v>
      </c>
      <c r="J31" s="8" t="str">
        <f>"000037"</f>
        <v>000037</v>
      </c>
      <c r="K31" s="7">
        <v>43657</v>
      </c>
      <c r="L31" s="8" t="str">
        <f>"000062"</f>
        <v>000062</v>
      </c>
      <c r="M31" s="7">
        <v>43657</v>
      </c>
      <c r="N31" s="8">
        <v>19</v>
      </c>
      <c r="O31" s="8" t="str">
        <f>"004154"</f>
        <v>004154</v>
      </c>
      <c r="P31" s="7">
        <v>43678</v>
      </c>
      <c r="Q31" s="12">
        <v>99.843090000000004</v>
      </c>
      <c r="R31" s="12">
        <v>9.2373200000000004</v>
      </c>
      <c r="S31" s="12">
        <v>90.605770000000007</v>
      </c>
      <c r="T31" s="8">
        <v>152</v>
      </c>
      <c r="U31" s="7">
        <v>43690</v>
      </c>
      <c r="V31" s="8">
        <v>9480828222</v>
      </c>
      <c r="W31" s="11" t="s">
        <v>120</v>
      </c>
      <c r="X31" s="8" t="s">
        <v>41</v>
      </c>
      <c r="Y31" s="11" t="s">
        <v>42</v>
      </c>
      <c r="Z31" s="8" t="s">
        <v>57</v>
      </c>
      <c r="AA31" s="11" t="s">
        <v>58</v>
      </c>
      <c r="AB31" s="12">
        <f t="shared" si="1"/>
        <v>0.99843090000000001</v>
      </c>
    </row>
    <row r="32" spans="1:28" s="4" customFormat="1" ht="13" x14ac:dyDescent="0.3">
      <c r="A32" s="5">
        <v>1918</v>
      </c>
      <c r="B32" s="6" t="s">
        <v>112</v>
      </c>
      <c r="C32" s="7">
        <v>43690</v>
      </c>
      <c r="D32" s="8">
        <v>54</v>
      </c>
      <c r="E32" s="9" t="s">
        <v>51</v>
      </c>
      <c r="F32" s="8" t="s">
        <v>121</v>
      </c>
      <c r="G32" s="11" t="s">
        <v>122</v>
      </c>
      <c r="H32" s="8" t="str">
        <f>"000261"</f>
        <v>000261</v>
      </c>
      <c r="I32" s="7">
        <v>43506</v>
      </c>
      <c r="J32" s="8" t="str">
        <f>"000038"</f>
        <v>000038</v>
      </c>
      <c r="K32" s="7">
        <v>43657</v>
      </c>
      <c r="L32" s="8" t="str">
        <f>"000063"</f>
        <v>000063</v>
      </c>
      <c r="M32" s="7">
        <v>43657</v>
      </c>
      <c r="N32" s="8">
        <v>19</v>
      </c>
      <c r="O32" s="8" t="str">
        <f>"004156"</f>
        <v>004156</v>
      </c>
      <c r="P32" s="7">
        <v>43678</v>
      </c>
      <c r="Q32" s="12">
        <v>99.98321</v>
      </c>
      <c r="R32" s="12">
        <v>9.2489399999999993</v>
      </c>
      <c r="S32" s="12">
        <v>90.734269999999995</v>
      </c>
      <c r="T32" s="8">
        <v>152</v>
      </c>
      <c r="U32" s="7">
        <v>43690</v>
      </c>
      <c r="V32" s="8">
        <v>9480828222</v>
      </c>
      <c r="W32" s="11" t="s">
        <v>123</v>
      </c>
      <c r="X32" s="8" t="s">
        <v>41</v>
      </c>
      <c r="Y32" s="11" t="s">
        <v>42</v>
      </c>
      <c r="Z32" s="8" t="s">
        <v>57</v>
      </c>
      <c r="AA32" s="11" t="s">
        <v>58</v>
      </c>
      <c r="AB32" s="12">
        <f t="shared" si="1"/>
        <v>0.9998321</v>
      </c>
    </row>
    <row r="33" spans="1:28" s="4" customFormat="1" ht="13" x14ac:dyDescent="0.3">
      <c r="A33" s="5">
        <v>1919</v>
      </c>
      <c r="B33" s="6" t="s">
        <v>112</v>
      </c>
      <c r="C33" s="7">
        <v>43696</v>
      </c>
      <c r="D33" s="8">
        <v>54</v>
      </c>
      <c r="E33" s="9" t="s">
        <v>51</v>
      </c>
      <c r="F33" s="8" t="s">
        <v>124</v>
      </c>
      <c r="G33" s="11" t="s">
        <v>125</v>
      </c>
      <c r="H33" s="8" t="str">
        <f>"000176"</f>
        <v>000176</v>
      </c>
      <c r="I33" s="7">
        <v>43171</v>
      </c>
      <c r="J33" s="8" t="str">
        <f>"000093"</f>
        <v>000093</v>
      </c>
      <c r="K33" s="7">
        <v>43172</v>
      </c>
      <c r="L33" s="8" t="str">
        <f>"000273"</f>
        <v>000273</v>
      </c>
      <c r="M33" s="7">
        <v>43180</v>
      </c>
      <c r="N33" s="8">
        <v>17</v>
      </c>
      <c r="O33" s="8" t="str">
        <f>"004400"</f>
        <v>004400</v>
      </c>
      <c r="P33" s="7">
        <v>43686</v>
      </c>
      <c r="Q33" s="12">
        <v>20.778459999999999</v>
      </c>
      <c r="R33" s="12">
        <v>2.3323700000000001</v>
      </c>
      <c r="S33" s="12">
        <v>18.446090000000002</v>
      </c>
      <c r="T33" s="8">
        <v>158</v>
      </c>
      <c r="U33" s="7">
        <v>43696</v>
      </c>
      <c r="V33" s="8">
        <v>9611508999</v>
      </c>
      <c r="W33" s="11" t="s">
        <v>50</v>
      </c>
      <c r="X33" s="8" t="s">
        <v>32</v>
      </c>
      <c r="Y33" s="11" t="s">
        <v>33</v>
      </c>
      <c r="Z33" s="8" t="s">
        <v>57</v>
      </c>
      <c r="AA33" s="11" t="s">
        <v>58</v>
      </c>
      <c r="AB33" s="12">
        <f t="shared" si="1"/>
        <v>0.20778459999999999</v>
      </c>
    </row>
    <row r="34" spans="1:28" s="4" customFormat="1" ht="13" x14ac:dyDescent="0.3">
      <c r="A34" s="5">
        <v>1920</v>
      </c>
      <c r="B34" s="6" t="s">
        <v>112</v>
      </c>
      <c r="C34" s="7">
        <v>43704</v>
      </c>
      <c r="D34" s="8">
        <v>54</v>
      </c>
      <c r="E34" s="9" t="s">
        <v>51</v>
      </c>
      <c r="F34" s="8" t="s">
        <v>126</v>
      </c>
      <c r="G34" s="11" t="s">
        <v>127</v>
      </c>
      <c r="H34" s="8" t="str">
        <f>"000160"</f>
        <v>000160</v>
      </c>
      <c r="I34" s="7">
        <v>43138</v>
      </c>
      <c r="J34" s="8" t="str">
        <f>"000092"</f>
        <v>000092</v>
      </c>
      <c r="K34" s="7">
        <v>43172</v>
      </c>
      <c r="L34" s="8" t="str">
        <f>"000274"</f>
        <v>000274</v>
      </c>
      <c r="M34" s="7">
        <v>43180</v>
      </c>
      <c r="N34" s="8">
        <v>17</v>
      </c>
      <c r="O34" s="8" t="str">
        <f>"004543"</f>
        <v>004543</v>
      </c>
      <c r="P34" s="7">
        <v>43693</v>
      </c>
      <c r="Q34" s="12">
        <v>27.050439999999998</v>
      </c>
      <c r="R34" s="12">
        <v>3.0156700000000001</v>
      </c>
      <c r="S34" s="12">
        <v>24.034770000000002</v>
      </c>
      <c r="T34" s="8">
        <v>166</v>
      </c>
      <c r="U34" s="7">
        <v>43704</v>
      </c>
      <c r="V34" s="8">
        <v>9739957937</v>
      </c>
      <c r="W34" s="11" t="s">
        <v>95</v>
      </c>
      <c r="X34" s="8" t="s">
        <v>90</v>
      </c>
      <c r="Y34" s="11" t="s">
        <v>91</v>
      </c>
      <c r="Z34" s="8" t="s">
        <v>57</v>
      </c>
      <c r="AA34" s="11" t="s">
        <v>58</v>
      </c>
      <c r="AB34" s="12">
        <f t="shared" si="1"/>
        <v>0.27050439999999998</v>
      </c>
    </row>
    <row r="35" spans="1:28" s="4" customFormat="1" ht="13" x14ac:dyDescent="0.3">
      <c r="A35" s="5">
        <v>1921</v>
      </c>
      <c r="B35" s="6" t="s">
        <v>112</v>
      </c>
      <c r="C35" s="7">
        <v>43705</v>
      </c>
      <c r="D35" s="8">
        <v>54</v>
      </c>
      <c r="E35" s="9" t="s">
        <v>51</v>
      </c>
      <c r="F35" s="8" t="s">
        <v>128</v>
      </c>
      <c r="G35" s="11" t="s">
        <v>129</v>
      </c>
      <c r="H35" s="8" t="str">
        <f>"000170"</f>
        <v>000170</v>
      </c>
      <c r="I35" s="7">
        <v>43146</v>
      </c>
      <c r="J35" s="8" t="str">
        <f>"000046"</f>
        <v>000046</v>
      </c>
      <c r="K35" s="7">
        <v>43316</v>
      </c>
      <c r="L35" s="8" t="str">
        <f>"000119"</f>
        <v>000119</v>
      </c>
      <c r="M35" s="7">
        <v>43316</v>
      </c>
      <c r="N35" s="8">
        <v>18</v>
      </c>
      <c r="O35" s="8" t="str">
        <f>"004683"</f>
        <v>004683</v>
      </c>
      <c r="P35" s="7">
        <v>43698</v>
      </c>
      <c r="Q35" s="12">
        <v>25.49719</v>
      </c>
      <c r="R35" s="12">
        <v>2.6263999999999998</v>
      </c>
      <c r="S35" s="12">
        <v>22.87079</v>
      </c>
      <c r="T35" s="8">
        <v>171</v>
      </c>
      <c r="U35" s="7">
        <v>43705</v>
      </c>
      <c r="V35" s="8">
        <v>9480828222</v>
      </c>
      <c r="W35" s="11" t="s">
        <v>43</v>
      </c>
      <c r="X35" s="8" t="s">
        <v>130</v>
      </c>
      <c r="Y35" s="11" t="s">
        <v>131</v>
      </c>
      <c r="Z35" s="8" t="s">
        <v>57</v>
      </c>
      <c r="AA35" s="11" t="s">
        <v>58</v>
      </c>
      <c r="AB35" s="12">
        <f t="shared" si="1"/>
        <v>0.25497189999999997</v>
      </c>
    </row>
    <row r="36" spans="1:28" s="4" customFormat="1" ht="13" x14ac:dyDescent="0.3">
      <c r="A36" s="5">
        <v>1922</v>
      </c>
      <c r="B36" s="6" t="s">
        <v>112</v>
      </c>
      <c r="C36" s="7">
        <v>43705</v>
      </c>
      <c r="D36" s="8">
        <v>54</v>
      </c>
      <c r="E36" s="9" t="s">
        <v>51</v>
      </c>
      <c r="F36" s="8" t="s">
        <v>132</v>
      </c>
      <c r="G36" s="11" t="s">
        <v>133</v>
      </c>
      <c r="H36" s="8" t="str">
        <f>"000169"</f>
        <v>000169</v>
      </c>
      <c r="I36" s="7">
        <v>43146</v>
      </c>
      <c r="J36" s="8" t="str">
        <f>"000047"</f>
        <v>000047</v>
      </c>
      <c r="K36" s="7">
        <v>43316</v>
      </c>
      <c r="L36" s="8" t="str">
        <f>"000120"</f>
        <v>000120</v>
      </c>
      <c r="M36" s="7">
        <v>43316</v>
      </c>
      <c r="N36" s="8">
        <v>18</v>
      </c>
      <c r="O36" s="8" t="str">
        <f>"004685"</f>
        <v>004685</v>
      </c>
      <c r="P36" s="7">
        <v>43698</v>
      </c>
      <c r="Q36" s="12">
        <v>24.99558</v>
      </c>
      <c r="R36" s="12">
        <v>2.5750000000000002</v>
      </c>
      <c r="S36" s="12">
        <v>22.420580000000001</v>
      </c>
      <c r="T36" s="8">
        <v>171</v>
      </c>
      <c r="U36" s="7">
        <v>43705</v>
      </c>
      <c r="V36" s="8">
        <v>9480828222</v>
      </c>
      <c r="W36" s="11" t="s">
        <v>43</v>
      </c>
      <c r="X36" s="8" t="s">
        <v>130</v>
      </c>
      <c r="Y36" s="11" t="s">
        <v>131</v>
      </c>
      <c r="Z36" s="8" t="s">
        <v>57</v>
      </c>
      <c r="AA36" s="11" t="s">
        <v>58</v>
      </c>
      <c r="AB36" s="12">
        <f t="shared" si="1"/>
        <v>0.24995580000000001</v>
      </c>
    </row>
    <row r="37" spans="1:28" s="4" customFormat="1" ht="13" x14ac:dyDescent="0.3">
      <c r="A37" s="5">
        <v>1923</v>
      </c>
      <c r="B37" s="6" t="s">
        <v>112</v>
      </c>
      <c r="C37" s="7">
        <v>43705</v>
      </c>
      <c r="D37" s="8">
        <v>54</v>
      </c>
      <c r="E37" s="9" t="s">
        <v>51</v>
      </c>
      <c r="F37" s="8" t="s">
        <v>134</v>
      </c>
      <c r="G37" s="11" t="s">
        <v>135</v>
      </c>
      <c r="H37" s="8" t="str">
        <f>"000168"</f>
        <v>000168</v>
      </c>
      <c r="I37" s="7">
        <v>43146</v>
      </c>
      <c r="J37" s="8" t="str">
        <f>"000048"</f>
        <v>000048</v>
      </c>
      <c r="K37" s="7">
        <v>43316</v>
      </c>
      <c r="L37" s="8" t="str">
        <f>"000121"</f>
        <v>000121</v>
      </c>
      <c r="M37" s="7">
        <v>43316</v>
      </c>
      <c r="N37" s="8">
        <v>18</v>
      </c>
      <c r="O37" s="8" t="str">
        <f>"004687"</f>
        <v>004687</v>
      </c>
      <c r="P37" s="7">
        <v>43698</v>
      </c>
      <c r="Q37" s="12">
        <v>24.995979999999999</v>
      </c>
      <c r="R37" s="12">
        <v>2.5750000000000002</v>
      </c>
      <c r="S37" s="12">
        <v>22.42098</v>
      </c>
      <c r="T37" s="8">
        <v>171</v>
      </c>
      <c r="U37" s="7">
        <v>43705</v>
      </c>
      <c r="V37" s="8">
        <v>9480828222</v>
      </c>
      <c r="W37" s="11" t="s">
        <v>43</v>
      </c>
      <c r="X37" s="8" t="s">
        <v>130</v>
      </c>
      <c r="Y37" s="11" t="s">
        <v>131</v>
      </c>
      <c r="Z37" s="8" t="s">
        <v>57</v>
      </c>
      <c r="AA37" s="11" t="s">
        <v>58</v>
      </c>
      <c r="AB37" s="12">
        <f t="shared" si="1"/>
        <v>0.24995979999999998</v>
      </c>
    </row>
    <row r="38" spans="1:28" s="4" customFormat="1" ht="13" x14ac:dyDescent="0.3">
      <c r="A38" s="5">
        <v>1924</v>
      </c>
      <c r="B38" s="6" t="s">
        <v>112</v>
      </c>
      <c r="C38" s="7">
        <v>43705</v>
      </c>
      <c r="D38" s="8">
        <v>54</v>
      </c>
      <c r="E38" s="9" t="s">
        <v>51</v>
      </c>
      <c r="F38" s="8" t="s">
        <v>136</v>
      </c>
      <c r="G38" s="11" t="s">
        <v>137</v>
      </c>
      <c r="H38" s="8" t="str">
        <f>"000167"</f>
        <v>000167</v>
      </c>
      <c r="I38" s="7">
        <v>43146</v>
      </c>
      <c r="J38" s="8" t="str">
        <f>"000049"</f>
        <v>000049</v>
      </c>
      <c r="K38" s="7">
        <v>43316</v>
      </c>
      <c r="L38" s="8" t="str">
        <f>"000122"</f>
        <v>000122</v>
      </c>
      <c r="M38" s="7">
        <v>43316</v>
      </c>
      <c r="N38" s="8">
        <v>18</v>
      </c>
      <c r="O38" s="8" t="str">
        <f>"004690"</f>
        <v>004690</v>
      </c>
      <c r="P38" s="7">
        <v>43698</v>
      </c>
      <c r="Q38" s="12">
        <v>24.995979999999999</v>
      </c>
      <c r="R38" s="12">
        <v>2.5750000000000002</v>
      </c>
      <c r="S38" s="12">
        <v>22.42098</v>
      </c>
      <c r="T38" s="8">
        <v>171</v>
      </c>
      <c r="U38" s="7">
        <v>43705</v>
      </c>
      <c r="V38" s="8">
        <v>9480828222</v>
      </c>
      <c r="W38" s="11" t="s">
        <v>43</v>
      </c>
      <c r="X38" s="8" t="s">
        <v>130</v>
      </c>
      <c r="Y38" s="11" t="s">
        <v>131</v>
      </c>
      <c r="Z38" s="8" t="s">
        <v>57</v>
      </c>
      <c r="AA38" s="11" t="s">
        <v>58</v>
      </c>
      <c r="AB38" s="12">
        <f t="shared" si="1"/>
        <v>0.24995979999999998</v>
      </c>
    </row>
    <row r="39" spans="1:28" s="4" customFormat="1" ht="13" x14ac:dyDescent="0.3">
      <c r="A39" s="5">
        <v>1925</v>
      </c>
      <c r="B39" s="6" t="s">
        <v>138</v>
      </c>
      <c r="C39" s="7">
        <v>43717</v>
      </c>
      <c r="D39" s="8">
        <v>54</v>
      </c>
      <c r="E39" s="9" t="s">
        <v>51</v>
      </c>
      <c r="F39" s="8" t="s">
        <v>139</v>
      </c>
      <c r="G39" s="11" t="s">
        <v>140</v>
      </c>
      <c r="H39" s="8" t="str">
        <f>"000064"</f>
        <v>000064</v>
      </c>
      <c r="I39" s="7">
        <v>43504</v>
      </c>
      <c r="J39" s="8" t="str">
        <f>"000146"</f>
        <v>000146</v>
      </c>
      <c r="K39" s="7">
        <v>43544</v>
      </c>
      <c r="L39" s="8" t="str">
        <f>"000149"</f>
        <v>000149</v>
      </c>
      <c r="M39" s="7">
        <v>43544</v>
      </c>
      <c r="N39" s="8">
        <v>18</v>
      </c>
      <c r="O39" s="8" t="str">
        <f>"004770"</f>
        <v>004770</v>
      </c>
      <c r="P39" s="7">
        <v>43703</v>
      </c>
      <c r="Q39" s="12">
        <v>9.9899799999999992</v>
      </c>
      <c r="R39" s="12">
        <v>1.012</v>
      </c>
      <c r="S39" s="12">
        <v>8.9779800000000005</v>
      </c>
      <c r="T39" s="8">
        <v>178</v>
      </c>
      <c r="U39" s="7">
        <v>43717</v>
      </c>
      <c r="V39" s="8">
        <v>0</v>
      </c>
      <c r="W39" s="11" t="s">
        <v>115</v>
      </c>
      <c r="X39" s="8" t="s">
        <v>141</v>
      </c>
      <c r="Y39" s="11" t="s">
        <v>142</v>
      </c>
      <c r="Z39" s="8" t="s">
        <v>46</v>
      </c>
      <c r="AA39" s="11" t="s">
        <v>47</v>
      </c>
      <c r="AB39" s="12">
        <f t="shared" si="1"/>
        <v>9.9899799999999997E-2</v>
      </c>
    </row>
    <row r="40" spans="1:28" s="4" customFormat="1" ht="13" x14ac:dyDescent="0.3">
      <c r="A40" s="5">
        <v>1926</v>
      </c>
      <c r="B40" s="6" t="s">
        <v>138</v>
      </c>
      <c r="C40" s="7">
        <v>43725</v>
      </c>
      <c r="D40" s="8">
        <v>54</v>
      </c>
      <c r="E40" s="9" t="s">
        <v>51</v>
      </c>
      <c r="F40" s="8" t="s">
        <v>143</v>
      </c>
      <c r="G40" s="11" t="s">
        <v>144</v>
      </c>
      <c r="H40" s="8" t="str">
        <f>"000001"</f>
        <v>000001</v>
      </c>
      <c r="I40" s="7">
        <v>43193</v>
      </c>
      <c r="J40" s="8" t="str">
        <f>"000001"</f>
        <v>000001</v>
      </c>
      <c r="K40" s="7">
        <v>43193</v>
      </c>
      <c r="L40" s="8" t="str">
        <f>"000001"</f>
        <v>000001</v>
      </c>
      <c r="M40" s="7">
        <v>43193</v>
      </c>
      <c r="N40" s="8">
        <v>17</v>
      </c>
      <c r="O40" s="8" t="str">
        <f>"004948"</f>
        <v>004948</v>
      </c>
      <c r="P40" s="7">
        <v>43717</v>
      </c>
      <c r="Q40" s="12">
        <v>9.0080299999999998</v>
      </c>
      <c r="R40" s="12">
        <v>0.92559999999999998</v>
      </c>
      <c r="S40" s="12">
        <v>8.0824300000000004</v>
      </c>
      <c r="T40" s="8">
        <v>190</v>
      </c>
      <c r="U40" s="7">
        <v>43725</v>
      </c>
      <c r="V40" s="8">
        <v>8050006665</v>
      </c>
      <c r="W40" s="11" t="s">
        <v>145</v>
      </c>
      <c r="X40" s="8" t="s">
        <v>32</v>
      </c>
      <c r="Y40" s="11" t="s">
        <v>33</v>
      </c>
      <c r="Z40" s="8" t="s">
        <v>46</v>
      </c>
      <c r="AA40" s="11" t="s">
        <v>47</v>
      </c>
      <c r="AB40" s="12">
        <f t="shared" si="1"/>
        <v>9.0080300000000002E-2</v>
      </c>
    </row>
    <row r="41" spans="1:28" s="4" customFormat="1" ht="13" x14ac:dyDescent="0.3">
      <c r="A41" s="5">
        <v>1927</v>
      </c>
      <c r="B41" s="6" t="s">
        <v>138</v>
      </c>
      <c r="C41" s="7">
        <v>43726</v>
      </c>
      <c r="D41" s="8">
        <v>54</v>
      </c>
      <c r="E41" s="9" t="s">
        <v>51</v>
      </c>
      <c r="F41" s="8" t="s">
        <v>146</v>
      </c>
      <c r="G41" s="11" t="s">
        <v>147</v>
      </c>
      <c r="H41" s="8" t="str">
        <f>"000118"</f>
        <v>000118</v>
      </c>
      <c r="I41" s="7">
        <v>43662</v>
      </c>
      <c r="J41" s="8" t="str">
        <f>"000040"</f>
        <v>000040</v>
      </c>
      <c r="K41" s="7">
        <v>43662</v>
      </c>
      <c r="L41" s="8" t="str">
        <f>"000065"</f>
        <v>000065</v>
      </c>
      <c r="M41" s="7">
        <v>43662</v>
      </c>
      <c r="N41" s="8">
        <v>18</v>
      </c>
      <c r="O41" s="8" t="str">
        <f>"005165"</f>
        <v>005165</v>
      </c>
      <c r="P41" s="7">
        <v>43726</v>
      </c>
      <c r="Q41" s="12">
        <v>19.990559999999999</v>
      </c>
      <c r="R41" s="12">
        <v>1.6591899999999999</v>
      </c>
      <c r="S41" s="12">
        <v>18.33137</v>
      </c>
      <c r="T41" s="8">
        <v>192</v>
      </c>
      <c r="U41" s="7">
        <v>43726</v>
      </c>
      <c r="V41" s="8">
        <v>9480828222</v>
      </c>
      <c r="W41" s="11" t="s">
        <v>106</v>
      </c>
      <c r="X41" s="8" t="s">
        <v>148</v>
      </c>
      <c r="Y41" s="11" t="s">
        <v>149</v>
      </c>
      <c r="Z41" s="8" t="s">
        <v>57</v>
      </c>
      <c r="AA41" s="11" t="s">
        <v>58</v>
      </c>
      <c r="AB41" s="12">
        <f t="shared" si="1"/>
        <v>0.19990559999999999</v>
      </c>
    </row>
    <row r="42" spans="1:28" s="4" customFormat="1" ht="13" x14ac:dyDescent="0.3">
      <c r="A42" s="5">
        <v>1928</v>
      </c>
      <c r="B42" s="6" t="s">
        <v>138</v>
      </c>
      <c r="C42" s="7">
        <v>43732</v>
      </c>
      <c r="D42" s="8">
        <v>54</v>
      </c>
      <c r="E42" s="9" t="s">
        <v>51</v>
      </c>
      <c r="F42" s="8" t="s">
        <v>150</v>
      </c>
      <c r="G42" s="11" t="s">
        <v>151</v>
      </c>
      <c r="H42" s="8" t="str">
        <f>"000065"</f>
        <v>000065</v>
      </c>
      <c r="I42" s="7">
        <v>42989</v>
      </c>
      <c r="J42" s="8" t="str">
        <f>"000005"</f>
        <v>000005</v>
      </c>
      <c r="K42" s="7">
        <v>43214</v>
      </c>
      <c r="L42" s="8" t="str">
        <f>"000027"</f>
        <v>000027</v>
      </c>
      <c r="M42" s="7">
        <v>43214</v>
      </c>
      <c r="N42" s="8">
        <v>17</v>
      </c>
      <c r="O42" s="8" t="str">
        <f>"005399"</f>
        <v>005399</v>
      </c>
      <c r="P42" s="7">
        <v>43731</v>
      </c>
      <c r="Q42" s="12">
        <v>48.087919999999997</v>
      </c>
      <c r="R42" s="12">
        <v>5.24275</v>
      </c>
      <c r="S42" s="12">
        <v>42.845170000000003</v>
      </c>
      <c r="T42" s="8">
        <v>199</v>
      </c>
      <c r="U42" s="7">
        <v>43732</v>
      </c>
      <c r="V42" s="8">
        <v>9611508999</v>
      </c>
      <c r="W42" s="11" t="s">
        <v>95</v>
      </c>
      <c r="X42" s="8" t="s">
        <v>90</v>
      </c>
      <c r="Y42" s="11" t="s">
        <v>91</v>
      </c>
      <c r="Z42" s="8" t="s">
        <v>57</v>
      </c>
      <c r="AA42" s="11" t="s">
        <v>58</v>
      </c>
      <c r="AB42" s="12">
        <f t="shared" si="1"/>
        <v>0.48087919999999995</v>
      </c>
    </row>
    <row r="43" spans="1:28" s="4" customFormat="1" ht="13" x14ac:dyDescent="0.3">
      <c r="A43" s="5">
        <v>1929</v>
      </c>
      <c r="B43" s="6" t="s">
        <v>138</v>
      </c>
      <c r="C43" s="7">
        <v>43732</v>
      </c>
      <c r="D43" s="8">
        <v>54</v>
      </c>
      <c r="E43" s="9" t="s">
        <v>51</v>
      </c>
      <c r="F43" s="8" t="s">
        <v>152</v>
      </c>
      <c r="G43" s="11" t="s">
        <v>153</v>
      </c>
      <c r="H43" s="8" t="str">
        <f>"000063"</f>
        <v>000063</v>
      </c>
      <c r="I43" s="7">
        <v>42989</v>
      </c>
      <c r="J43" s="8" t="str">
        <f>"000006"</f>
        <v>000006</v>
      </c>
      <c r="K43" s="7">
        <v>43214</v>
      </c>
      <c r="L43" s="8" t="str">
        <f>"000028"</f>
        <v>000028</v>
      </c>
      <c r="M43" s="7">
        <v>43214</v>
      </c>
      <c r="N43" s="8">
        <v>17</v>
      </c>
      <c r="O43" s="8" t="str">
        <f>"005400"</f>
        <v>005400</v>
      </c>
      <c r="P43" s="7">
        <v>43731</v>
      </c>
      <c r="Q43" s="12">
        <v>48.420430000000003</v>
      </c>
      <c r="R43" s="12">
        <v>5.2840699999999998</v>
      </c>
      <c r="S43" s="12">
        <v>43.136360000000003</v>
      </c>
      <c r="T43" s="8">
        <v>199</v>
      </c>
      <c r="U43" s="7">
        <v>43732</v>
      </c>
      <c r="V43" s="8">
        <v>9611508999</v>
      </c>
      <c r="W43" s="11" t="s">
        <v>95</v>
      </c>
      <c r="X43" s="8" t="s">
        <v>90</v>
      </c>
      <c r="Y43" s="11" t="s">
        <v>91</v>
      </c>
      <c r="Z43" s="8" t="s">
        <v>57</v>
      </c>
      <c r="AA43" s="11" t="s">
        <v>58</v>
      </c>
      <c r="AB43" s="12">
        <f t="shared" si="1"/>
        <v>0.48420430000000003</v>
      </c>
    </row>
    <row r="44" spans="1:28" s="4" customFormat="1" ht="13" x14ac:dyDescent="0.3">
      <c r="A44" s="5">
        <v>1930</v>
      </c>
      <c r="B44" s="6" t="s">
        <v>138</v>
      </c>
      <c r="C44" s="7">
        <v>43738</v>
      </c>
      <c r="D44" s="8">
        <v>54</v>
      </c>
      <c r="E44" s="9" t="s">
        <v>51</v>
      </c>
      <c r="F44" s="8" t="s">
        <v>154</v>
      </c>
      <c r="G44" s="11" t="s">
        <v>155</v>
      </c>
      <c r="H44" s="8" t="str">
        <f>"000117"</f>
        <v>000117</v>
      </c>
      <c r="I44" s="7">
        <v>43662</v>
      </c>
      <c r="J44" s="8" t="str">
        <f>"000039"</f>
        <v>000039</v>
      </c>
      <c r="K44" s="7">
        <v>43662</v>
      </c>
      <c r="L44" s="8" t="str">
        <f>"000064"</f>
        <v>000064</v>
      </c>
      <c r="M44" s="7">
        <v>43662</v>
      </c>
      <c r="N44" s="8">
        <v>18</v>
      </c>
      <c r="O44" s="8" t="str">
        <f>"005370"</f>
        <v>005370</v>
      </c>
      <c r="P44" s="7">
        <v>43729</v>
      </c>
      <c r="Q44" s="12">
        <v>9.9965499999999992</v>
      </c>
      <c r="R44" s="12">
        <v>0.94989000000000001</v>
      </c>
      <c r="S44" s="12">
        <v>9.0466599999999993</v>
      </c>
      <c r="T44" s="8">
        <v>207</v>
      </c>
      <c r="U44" s="7">
        <v>43738</v>
      </c>
      <c r="V44" s="8">
        <v>9480828222</v>
      </c>
      <c r="W44" s="11" t="s">
        <v>106</v>
      </c>
      <c r="X44" s="8" t="s">
        <v>156</v>
      </c>
      <c r="Y44" s="11" t="s">
        <v>157</v>
      </c>
      <c r="Z44" s="8" t="s">
        <v>57</v>
      </c>
      <c r="AA44" s="11" t="s">
        <v>58</v>
      </c>
      <c r="AB44" s="12">
        <f t="shared" si="1"/>
        <v>9.9965499999999985E-2</v>
      </c>
    </row>
    <row r="45" spans="1:28" s="4" customFormat="1" ht="13" x14ac:dyDescent="0.3">
      <c r="A45" s="5">
        <v>1931</v>
      </c>
      <c r="B45" s="6" t="s">
        <v>158</v>
      </c>
      <c r="C45" s="7">
        <v>43748</v>
      </c>
      <c r="D45" s="5">
        <v>54</v>
      </c>
      <c r="E45" s="9" t="s">
        <v>51</v>
      </c>
      <c r="F45" s="8" t="s">
        <v>70</v>
      </c>
      <c r="G45" s="9" t="s">
        <v>71</v>
      </c>
      <c r="H45" s="8" t="str">
        <f>"000014"</f>
        <v>000014</v>
      </c>
      <c r="I45" s="7">
        <v>42625</v>
      </c>
      <c r="J45" s="8" t="str">
        <f>"000061"</f>
        <v>000061</v>
      </c>
      <c r="K45" s="7">
        <v>43813</v>
      </c>
      <c r="L45" s="8" t="str">
        <f>"000060"</f>
        <v>000060</v>
      </c>
      <c r="M45" s="7">
        <v>43813</v>
      </c>
      <c r="N45" s="8">
        <v>16</v>
      </c>
      <c r="O45" s="8" t="str">
        <f>""</f>
        <v/>
      </c>
      <c r="P45" s="7"/>
      <c r="Q45" s="10">
        <v>9.2269199999999998</v>
      </c>
      <c r="R45" s="10">
        <v>1.25545</v>
      </c>
      <c r="S45" s="10">
        <v>7.9714700000000001</v>
      </c>
      <c r="T45" s="8">
        <v>13</v>
      </c>
      <c r="U45" s="7">
        <v>43748</v>
      </c>
      <c r="V45" s="8">
        <v>9845194409</v>
      </c>
      <c r="W45" s="9" t="s">
        <v>72</v>
      </c>
      <c r="X45" s="8" t="s">
        <v>29</v>
      </c>
      <c r="Y45" s="9" t="s">
        <v>30</v>
      </c>
      <c r="Z45" s="8" t="s">
        <v>46</v>
      </c>
      <c r="AA45" s="9" t="s">
        <v>47</v>
      </c>
      <c r="AB45" s="10">
        <v>9.2269199999999996E-2</v>
      </c>
    </row>
    <row r="46" spans="1:28" s="4" customFormat="1" ht="13" x14ac:dyDescent="0.3">
      <c r="A46" s="5">
        <v>1932</v>
      </c>
      <c r="B46" s="6" t="s">
        <v>159</v>
      </c>
      <c r="C46" s="7">
        <v>43775</v>
      </c>
      <c r="D46" s="5">
        <v>54</v>
      </c>
      <c r="E46" s="9" t="s">
        <v>51</v>
      </c>
      <c r="F46" s="8" t="s">
        <v>160</v>
      </c>
      <c r="G46" s="9" t="s">
        <v>161</v>
      </c>
      <c r="H46" s="8" t="str">
        <f>"000159"</f>
        <v>000159</v>
      </c>
      <c r="I46" s="7">
        <v>43138</v>
      </c>
      <c r="J46" s="8" t="str">
        <f>"000035"</f>
        <v>000035</v>
      </c>
      <c r="K46" s="7">
        <v>43311</v>
      </c>
      <c r="L46" s="8" t="str">
        <f>"000105"</f>
        <v>000105</v>
      </c>
      <c r="M46" s="7">
        <v>43311</v>
      </c>
      <c r="N46" s="8">
        <v>17</v>
      </c>
      <c r="O46" s="8" t="str">
        <f>"006079"</f>
        <v>006079</v>
      </c>
      <c r="P46" s="7">
        <v>43775</v>
      </c>
      <c r="Q46" s="10">
        <v>24.13983</v>
      </c>
      <c r="R46" s="10">
        <v>2.67496</v>
      </c>
      <c r="S46" s="10">
        <v>21.464870000000001</v>
      </c>
      <c r="T46" s="8">
        <v>13</v>
      </c>
      <c r="U46" s="7">
        <v>43775</v>
      </c>
      <c r="V46" s="8">
        <v>9739957937</v>
      </c>
      <c r="W46" s="9" t="s">
        <v>95</v>
      </c>
      <c r="X46" s="8" t="s">
        <v>90</v>
      </c>
      <c r="Y46" s="9" t="s">
        <v>91</v>
      </c>
      <c r="Z46" s="8" t="s">
        <v>57</v>
      </c>
      <c r="AA46" s="9" t="s">
        <v>58</v>
      </c>
      <c r="AB46" s="10">
        <v>0.24139830000000001</v>
      </c>
    </row>
    <row r="47" spans="1:28" s="4" customFormat="1" ht="13" x14ac:dyDescent="0.3">
      <c r="A47" s="5">
        <v>1933</v>
      </c>
      <c r="B47" s="6" t="s">
        <v>159</v>
      </c>
      <c r="C47" s="7">
        <v>43775</v>
      </c>
      <c r="D47" s="5">
        <v>54</v>
      </c>
      <c r="E47" s="9" t="s">
        <v>51</v>
      </c>
      <c r="F47" s="8" t="s">
        <v>162</v>
      </c>
      <c r="G47" s="9" t="s">
        <v>163</v>
      </c>
      <c r="H47" s="8" t="str">
        <f>"000066"</f>
        <v>000066</v>
      </c>
      <c r="I47" s="7">
        <v>42989</v>
      </c>
      <c r="J47" s="8" t="str">
        <f>"000034"</f>
        <v>000034</v>
      </c>
      <c r="K47" s="7">
        <v>43310</v>
      </c>
      <c r="L47" s="8" t="str">
        <f>"000104"</f>
        <v>000104</v>
      </c>
      <c r="M47" s="7">
        <v>43311</v>
      </c>
      <c r="N47" s="8">
        <v>17</v>
      </c>
      <c r="O47" s="8" t="str">
        <f>"006080"</f>
        <v>006080</v>
      </c>
      <c r="P47" s="7">
        <v>43775</v>
      </c>
      <c r="Q47" s="10">
        <v>39.029060000000001</v>
      </c>
      <c r="R47" s="10">
        <v>4.3296799999999998</v>
      </c>
      <c r="S47" s="10">
        <v>34.699379999999998</v>
      </c>
      <c r="T47" s="8">
        <v>13</v>
      </c>
      <c r="U47" s="7">
        <v>43775</v>
      </c>
      <c r="V47" s="8">
        <v>9611508999</v>
      </c>
      <c r="W47" s="9" t="s">
        <v>95</v>
      </c>
      <c r="X47" s="8" t="s">
        <v>32</v>
      </c>
      <c r="Y47" s="9" t="s">
        <v>33</v>
      </c>
      <c r="Z47" s="8" t="s">
        <v>57</v>
      </c>
      <c r="AA47" s="9" t="s">
        <v>58</v>
      </c>
      <c r="AB47" s="10">
        <v>0.39029059999999999</v>
      </c>
    </row>
    <row r="48" spans="1:28" s="4" customFormat="1" ht="13" x14ac:dyDescent="0.3">
      <c r="A48" s="5">
        <v>1934</v>
      </c>
      <c r="B48" s="6" t="s">
        <v>159</v>
      </c>
      <c r="C48" s="7">
        <v>43781</v>
      </c>
      <c r="D48" s="5">
        <v>54</v>
      </c>
      <c r="E48" s="9" t="s">
        <v>51</v>
      </c>
      <c r="F48" s="8" t="s">
        <v>164</v>
      </c>
      <c r="G48" s="9" t="s">
        <v>165</v>
      </c>
      <c r="H48" s="8" t="str">
        <f>"000026"</f>
        <v>000026</v>
      </c>
      <c r="I48" s="7">
        <v>43224</v>
      </c>
      <c r="J48" s="8" t="str">
        <f>"000017"</f>
        <v>000017</v>
      </c>
      <c r="K48" s="7">
        <v>43227</v>
      </c>
      <c r="L48" s="8" t="str">
        <f>"000050"</f>
        <v>000050</v>
      </c>
      <c r="M48" s="7">
        <v>43229</v>
      </c>
      <c r="N48" s="8">
        <v>14</v>
      </c>
      <c r="O48" s="8" t="str">
        <f>"005937"</f>
        <v>005937</v>
      </c>
      <c r="P48" s="7">
        <v>43763</v>
      </c>
      <c r="Q48" s="10">
        <v>19.11842</v>
      </c>
      <c r="R48" s="10">
        <v>2.0820699999999999</v>
      </c>
      <c r="S48" s="10">
        <v>17.036349999999999</v>
      </c>
      <c r="T48" s="8">
        <v>13</v>
      </c>
      <c r="U48" s="7">
        <v>43781</v>
      </c>
      <c r="V48" s="8">
        <v>9902103553</v>
      </c>
      <c r="W48" s="9" t="s">
        <v>166</v>
      </c>
      <c r="X48" s="8" t="s">
        <v>32</v>
      </c>
      <c r="Y48" s="9" t="s">
        <v>33</v>
      </c>
      <c r="Z48" s="8" t="s">
        <v>57</v>
      </c>
      <c r="AA48" s="9" t="s">
        <v>58</v>
      </c>
      <c r="AB48" s="10">
        <v>0.1911842</v>
      </c>
    </row>
    <row r="49" spans="1:28" s="4" customFormat="1" ht="13" x14ac:dyDescent="0.3">
      <c r="A49" s="5">
        <v>1935</v>
      </c>
      <c r="B49" s="6" t="s">
        <v>167</v>
      </c>
      <c r="C49" s="7">
        <v>43801</v>
      </c>
      <c r="D49" s="5">
        <v>54</v>
      </c>
      <c r="E49" s="9" t="s">
        <v>51</v>
      </c>
      <c r="F49" s="8" t="s">
        <v>168</v>
      </c>
      <c r="G49" s="9" t="s">
        <v>169</v>
      </c>
      <c r="H49" s="8" t="str">
        <f>"000057"</f>
        <v>000057</v>
      </c>
      <c r="I49" s="7">
        <v>43635</v>
      </c>
      <c r="J49" s="8" t="str">
        <f>"000076"</f>
        <v>000076</v>
      </c>
      <c r="K49" s="7">
        <v>43726</v>
      </c>
      <c r="L49" s="8" t="str">
        <f>"000140"</f>
        <v>000140</v>
      </c>
      <c r="M49" s="7">
        <v>43726</v>
      </c>
      <c r="N49" s="8">
        <v>19</v>
      </c>
      <c r="O49" s="8" t="str">
        <f>"006422"</f>
        <v>006422</v>
      </c>
      <c r="P49" s="7">
        <v>43795</v>
      </c>
      <c r="Q49" s="10">
        <v>98.985290000000006</v>
      </c>
      <c r="R49" s="10">
        <v>8.2286900000000003</v>
      </c>
      <c r="S49" s="10">
        <v>90.756600000000006</v>
      </c>
      <c r="T49" s="8">
        <v>13</v>
      </c>
      <c r="U49" s="7">
        <v>43801</v>
      </c>
      <c r="V49" s="8">
        <v>9480828222</v>
      </c>
      <c r="W49" s="9" t="s">
        <v>170</v>
      </c>
      <c r="X49" s="8" t="s">
        <v>41</v>
      </c>
      <c r="Y49" s="9" t="s">
        <v>42</v>
      </c>
      <c r="Z49" s="8" t="s">
        <v>57</v>
      </c>
      <c r="AA49" s="9" t="s">
        <v>58</v>
      </c>
      <c r="AB49" s="10">
        <v>0.98985290000000004</v>
      </c>
    </row>
    <row r="50" spans="1:28" s="4" customFormat="1" ht="13" x14ac:dyDescent="0.3">
      <c r="A50" s="5">
        <v>1936</v>
      </c>
      <c r="B50" s="6" t="s">
        <v>167</v>
      </c>
      <c r="C50" s="7">
        <v>43816</v>
      </c>
      <c r="D50" s="5">
        <v>54</v>
      </c>
      <c r="E50" s="9" t="s">
        <v>51</v>
      </c>
      <c r="F50" s="8" t="s">
        <v>171</v>
      </c>
      <c r="G50" s="9" t="s">
        <v>172</v>
      </c>
      <c r="H50" s="8" t="str">
        <f>"000364"</f>
        <v>000364</v>
      </c>
      <c r="I50" s="7">
        <v>43554</v>
      </c>
      <c r="J50" s="8" t="str">
        <f>"000123"</f>
        <v>000123</v>
      </c>
      <c r="K50" s="7">
        <v>43555</v>
      </c>
      <c r="L50" s="8" t="str">
        <f>"000300"</f>
        <v>000300</v>
      </c>
      <c r="M50" s="7">
        <v>43555</v>
      </c>
      <c r="N50" s="8">
        <v>18</v>
      </c>
      <c r="O50" s="8" t="str">
        <f>"006854"</f>
        <v>006854</v>
      </c>
      <c r="P50" s="7">
        <v>43815</v>
      </c>
      <c r="Q50" s="10">
        <v>47.02402</v>
      </c>
      <c r="R50" s="10">
        <v>5.2210200000000002</v>
      </c>
      <c r="S50" s="10">
        <v>41.802999999999997</v>
      </c>
      <c r="T50" s="8">
        <v>13</v>
      </c>
      <c r="U50" s="7">
        <v>43816</v>
      </c>
      <c r="V50" s="8">
        <v>9611508999</v>
      </c>
      <c r="W50" s="9" t="s">
        <v>95</v>
      </c>
      <c r="X50" s="8" t="s">
        <v>55</v>
      </c>
      <c r="Y50" s="9" t="s">
        <v>56</v>
      </c>
      <c r="Z50" s="8" t="s">
        <v>57</v>
      </c>
      <c r="AA50" s="9" t="s">
        <v>58</v>
      </c>
      <c r="AB50" s="10">
        <v>0.4702402</v>
      </c>
    </row>
    <row r="51" spans="1:28" s="4" customFormat="1" ht="13" x14ac:dyDescent="0.3">
      <c r="A51" s="5">
        <v>1937</v>
      </c>
      <c r="B51" s="6" t="s">
        <v>167</v>
      </c>
      <c r="C51" s="7">
        <v>43826</v>
      </c>
      <c r="D51" s="5">
        <v>54</v>
      </c>
      <c r="E51" s="9" t="s">
        <v>51</v>
      </c>
      <c r="F51" s="8" t="s">
        <v>173</v>
      </c>
      <c r="G51" s="9" t="s">
        <v>174</v>
      </c>
      <c r="H51" s="8" t="str">
        <f>"000452"</f>
        <v>000452</v>
      </c>
      <c r="I51" s="7">
        <v>43782</v>
      </c>
      <c r="J51" s="8" t="str">
        <f>"000101"</f>
        <v>000101</v>
      </c>
      <c r="K51" s="7">
        <v>43782</v>
      </c>
      <c r="L51" s="8" t="str">
        <f>"000199"</f>
        <v>000199</v>
      </c>
      <c r="M51" s="7">
        <v>43782</v>
      </c>
      <c r="N51" s="8">
        <v>19</v>
      </c>
      <c r="O51" s="8" t="str">
        <f>"006920"</f>
        <v>006920</v>
      </c>
      <c r="P51" s="7">
        <v>43820</v>
      </c>
      <c r="Q51" s="10">
        <v>44.870220000000003</v>
      </c>
      <c r="R51" s="10">
        <v>2.99905</v>
      </c>
      <c r="S51" s="10">
        <v>41.871169999999999</v>
      </c>
      <c r="T51" s="8">
        <v>13</v>
      </c>
      <c r="U51" s="7">
        <v>43826</v>
      </c>
      <c r="V51" s="8">
        <v>9880398035</v>
      </c>
      <c r="W51" s="9" t="s">
        <v>175</v>
      </c>
      <c r="X51" s="8" t="s">
        <v>176</v>
      </c>
      <c r="Y51" s="9" t="s">
        <v>177</v>
      </c>
      <c r="Z51" s="8" t="s">
        <v>57</v>
      </c>
      <c r="AA51" s="9" t="s">
        <v>58</v>
      </c>
      <c r="AB51" s="10">
        <v>0.44870220000000005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2020-01-28T11:50:19Z</dcterms:modified>
</cp:coreProperties>
</file>