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2" i="1" l="1"/>
  <c r="L32" i="1"/>
  <c r="J32" i="1"/>
  <c r="H32" i="1"/>
  <c r="O31" i="1"/>
  <c r="L31" i="1"/>
  <c r="J31" i="1"/>
  <c r="H31" i="1"/>
  <c r="O30" i="1"/>
  <c r="L30" i="1"/>
  <c r="J30" i="1"/>
  <c r="H30" i="1"/>
  <c r="O29" i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O25" i="1"/>
  <c r="L25" i="1"/>
  <c r="J25" i="1"/>
  <c r="H25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<sst xmlns="http://schemas.openxmlformats.org/spreadsheetml/2006/main" count="307" uniqueCount="148">
  <si>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</si>
  <si>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</si>
  <si>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</si>
  <si>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</si>
  <si>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</si>
  <si>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</si>
  <si>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</si>
  <si>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</si>
  <si>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</si>
  <si>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</si>
  <si>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</si>
  <si>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</si>
  <si>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</si>
  <si>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</si>
  <si>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</si>
  <si>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</si>
  <si>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</si>
  <si>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</si>
  <si>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</si>
  <si>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</si>
  <si>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</si>
  <si>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</si>
  <si>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</si>
  <si>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</si>
  <si>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</si>
  <si>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</si>
  <si>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</si>
  <si>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</si>
  <si>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</si>
  <si>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</si>
  <si>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</si>
  <si>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</si>
  <si>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</si>
  <si>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P3296</t>
  </si>
  <si>
    <t>14th Finance Commission Works - Road and Footpath Maintenance</t>
  </si>
  <si>
    <t>KRIDL</t>
  </si>
  <si>
    <t>P0190</t>
  </si>
  <si>
    <t>Works sanctioned by Hon Mayor</t>
  </si>
  <si>
    <t>P3298</t>
  </si>
  <si>
    <t>14th Finance Commission Works - SWM Works</t>
  </si>
  <si>
    <t>P3292</t>
  </si>
  <si>
    <t>14th Finance Commission Works - Community Property Maintenance (including Parks)</t>
  </si>
  <si>
    <t>ddo313</t>
  </si>
  <si>
    <t xml:space="preserve"> Chief Engineer SWD Central Zone</t>
  </si>
  <si>
    <t>P3291</t>
  </si>
  <si>
    <t>14th Fin  -Maintenance of Cremotorium, Burial Grounds</t>
  </si>
  <si>
    <t>P3297</t>
  </si>
  <si>
    <t>14th Finance Commission Grants - SWD Works</t>
  </si>
  <si>
    <t>ddo084</t>
  </si>
  <si>
    <t xml:space="preserve"> Assistant Executive Engineer C V Raman Nagar East Zone</t>
  </si>
  <si>
    <t>New Tippa Sandra</t>
  </si>
  <si>
    <t>058-18-000033</t>
  </si>
  <si>
    <t xml:space="preserve">Remodeling of storm water drain at New Thippasandra main road in ward no 58 </t>
  </si>
  <si>
    <t>KRIDL, Executive Engineer-3</t>
  </si>
  <si>
    <t>058-17-000026</t>
  </si>
  <si>
    <t>Improvements of  Roads and Desilting of drains to Venkateshwara colony 1st, 2nd, 3rd cross in Ward No.58, New Thippasandra</t>
  </si>
  <si>
    <t>S Sunil Kumar</t>
  </si>
  <si>
    <t>058-18-000034</t>
  </si>
  <si>
    <t xml:space="preserve">Providing scientific bins to parks government school and public play ground in ward no 58 </t>
  </si>
  <si>
    <t>058-18-000026</t>
  </si>
  <si>
    <t>Maintenance and  painting of library at Kuvempu Park and tax office in ward no 58</t>
  </si>
  <si>
    <t>058-18-000036</t>
  </si>
  <si>
    <t>Painting and Maintenance of Library building at Vishweshwaraiah park in ward no 58</t>
  </si>
  <si>
    <t>058-18-000035</t>
  </si>
  <si>
    <t xml:space="preserve">Providing scientific bins at Geethanjali layout 515 colony HAL 3rd stage market and surrounding area in ward no 58 </t>
  </si>
  <si>
    <t>058-18-000030</t>
  </si>
  <si>
    <t xml:space="preserve">Providing CC roads at Market road and surrounding areas in ward no 58 </t>
  </si>
  <si>
    <t>058-17-000031</t>
  </si>
  <si>
    <t>Providing cement concrete Road to Millenium Street and surrounding area in Ward No.58 New Thippasandra</t>
  </si>
  <si>
    <t>S Deepak Kumar</t>
  </si>
  <si>
    <t>058-17-000030</t>
  </si>
  <si>
    <t>Improvements to Roads and drains to 515 Colony, 3rd cross, 3rd main in Ward No.58, New Thippasandra</t>
  </si>
  <si>
    <t>A Prasanth Kumar</t>
  </si>
  <si>
    <t>058-17-000029</t>
  </si>
  <si>
    <t>Improvements of Roads and drains to Puttappa Layout 1st cross and surounding areas in Ward No.58, New Thippasandra</t>
  </si>
  <si>
    <t>058-17-000002</t>
  </si>
  <si>
    <t>Improvements of drain and roads to 14th cross and surrounding area in G Mpalya ward no 58</t>
  </si>
  <si>
    <t>058-17-000013</t>
  </si>
  <si>
    <t xml:space="preserve">Improvements of roads and drains to LIC Colony and cross roads in 58 new Thippasandra </t>
  </si>
  <si>
    <t>N Bhasakar Reddy</t>
  </si>
  <si>
    <t>P3174</t>
  </si>
  <si>
    <t>Special development works in ward No. 188, 141, 169, 82, 58,  (Rs.300 lakhs each ward)</t>
  </si>
  <si>
    <t>058-17-000012</t>
  </si>
  <si>
    <t xml:space="preserve">Improvements of roads and drains to 11th cross and 9th main LIC Colony in 58 new Thippasandra </t>
  </si>
  <si>
    <t>N Bhaskar Reddy</t>
  </si>
  <si>
    <t>July</t>
  </si>
  <si>
    <t>058-18-000031</t>
  </si>
  <si>
    <t xml:space="preserve">Improvements of drains and asphalting to Sree Rama temple road and surrounding areas in ward no 58 </t>
  </si>
  <si>
    <t>058-17-000016</t>
  </si>
  <si>
    <t xml:space="preserve">Improvements of roads and drains to G M Palya Cauvery layout in 58 new Thippasandra </t>
  </si>
  <si>
    <t>Special development works in ward No. 188, 141, 169, 82, 58, (Rs.300 lakhs each ward)</t>
  </si>
  <si>
    <t>058-17-000034</t>
  </si>
  <si>
    <t>Improvements of drains and roads to Yellamma Temple road Hanumappa road and surrounding area in ward no 58</t>
  </si>
  <si>
    <t>MS Venkatesh</t>
  </si>
  <si>
    <t>P3166</t>
  </si>
  <si>
    <t>Special Development works in ward No.21, 24, 50, 54, 58, 59, 72, 78, 110, 141, 188 and 197 (Rs.200 Lakhs per ward)</t>
  </si>
  <si>
    <t>058-17-000017</t>
  </si>
  <si>
    <t xml:space="preserve">Improvements of roads and drains to 4th main 4th cross in 58 new Thippasandra </t>
  </si>
  <si>
    <t>August</t>
  </si>
  <si>
    <t>058-17-000035</t>
  </si>
  <si>
    <t>Improvements of drains and roads to 7th main and surrounding area in ward noi 58</t>
  </si>
  <si>
    <t>September</t>
  </si>
  <si>
    <t>058-18-000027</t>
  </si>
  <si>
    <t xml:space="preserve">Drillling new borewell near Rama temple church street TMN street Seethappa colony Amedkar slum and surrounding areas in ward no 58 </t>
  </si>
  <si>
    <t>P3293</t>
  </si>
  <si>
    <t>14th Finance Commission Works - Drinking Water</t>
  </si>
  <si>
    <t>058-17-000052</t>
  </si>
  <si>
    <t>Solid Waste Management works in W N 58</t>
  </si>
  <si>
    <t>P3110</t>
  </si>
  <si>
    <t>14th Finance Commission Grant Works</t>
  </si>
  <si>
    <t>058-17-000043</t>
  </si>
  <si>
    <t>Improvements of drains, culverts and concrete roads in Byrasandra near Anjaneya Temple and surrounding area in ward no 58</t>
  </si>
  <si>
    <t>058-17-000024</t>
  </si>
  <si>
    <t>Improvements of Roads and Desilting of drains to KPW Quatrers and Surrounding areas in Ward No.58, New Thippasandra</t>
  </si>
  <si>
    <t>GM Nandakuamr</t>
  </si>
  <si>
    <t>October</t>
  </si>
  <si>
    <t>058-16-000027</t>
  </si>
  <si>
    <t>Upgradation and Fencing in Visweshwaraiah park in ward no 58 New Thippasandra</t>
  </si>
  <si>
    <t>Sri G M Nandakumar</t>
  </si>
  <si>
    <t>P0290</t>
  </si>
  <si>
    <t>BBMP Assets - Fencing of Vacant BMP Land (including Parks, Playgrounds and Gardens)</t>
  </si>
  <si>
    <t>ddo075</t>
  </si>
  <si>
    <t xml:space="preserve"> Executive Engineer Project East Zone</t>
  </si>
  <si>
    <t>058-17-000077</t>
  </si>
  <si>
    <t>Providing CC Camera at Garbage block spots in ward no 58</t>
  </si>
  <si>
    <t>Nagaraja</t>
  </si>
  <si>
    <t>December</t>
  </si>
  <si>
    <t>058-17-000042</t>
  </si>
  <si>
    <t xml:space="preserve">Providing drinking water works in Ward No 58 in C.V.Raman Nagar Division </t>
  </si>
  <si>
    <t>058-19-000018</t>
  </si>
  <si>
    <t>Providing CC roads at Church street and surrounding areas at ward no 58</t>
  </si>
  <si>
    <t>GK Nagesh</t>
  </si>
  <si>
    <t>058-19-000014</t>
  </si>
  <si>
    <t>Maintenance to public toilet at Vishveswaraiah park and kuvempu park at ward no 58</t>
  </si>
  <si>
    <t>Hanumanthaiah</t>
  </si>
  <si>
    <t>P3294</t>
  </si>
  <si>
    <t>14th Finance Commission Works - General Public ToiletandSeptage Maintenance</t>
  </si>
  <si>
    <t>058-19-000012</t>
  </si>
  <si>
    <t>Drilling borewell at G M Palya Byrasandra and surrounding areas of ward no 58</t>
  </si>
  <si>
    <t>B Bharath</t>
  </si>
  <si>
    <t>058-19-000011</t>
  </si>
  <si>
    <t>Drilling borewell at New Thippasandra and surrounding areas of ward no 58</t>
  </si>
  <si>
    <t>058-19-000008</t>
  </si>
  <si>
    <t>Drilling Borewell at Byrasandra burrilal Ground at ward no 58</t>
  </si>
  <si>
    <t>B Shreyas</t>
  </si>
  <si>
    <t>14th Fin -Maintenance of Cremotorium, Burial Grounds</t>
  </si>
  <si>
    <t>058-19-000017</t>
  </si>
  <si>
    <t>Providing CC roads at new thippasanda and surrounding areas at ward no 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</si>
</sst>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tabSelected="1" topLeftCell="A28" workbookViewId="0">
      <selection activeCell="B32" sqref="B32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4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2019</v>
      </c>
      <c r="B2" s="6" t="s">
        <v>28</v>
      </c>
      <c r="C2" s="7">
        <v>43578</v>
      </c>
      <c r="D2" s="8">
        <v>58</v>
      </c>
      <c r="E2" s="9" t="s">
        <v>50</v>
      </c>
      <c r="F2" s="8" t="s">
        <v>51</v>
      </c>
      <c r="G2" s="9" t="s">
        <v>52</v>
      </c>
      <c r="H2" s="8" t="str">
        <f>"000003"</f>
        <v>000003</v>
      </c>
      <c r="I2" s="7">
        <v>43333</v>
      </c>
      <c r="J2" s="8" t="str">
        <f>"000038"</f>
        <v>000038</v>
      </c>
      <c r="K2" s="7">
        <v>43537</v>
      </c>
      <c r="L2" s="8" t="str">
        <f>"000300"</f>
        <v>000300</v>
      </c>
      <c r="M2" s="7">
        <v>43537</v>
      </c>
      <c r="N2" s="8">
        <v>18</v>
      </c>
      <c r="O2" s="8" t="str">
        <f>"000705"</f>
        <v>000705</v>
      </c>
      <c r="P2" s="7">
        <v>43577</v>
      </c>
      <c r="Q2" s="10">
        <v>98.079599999999999</v>
      </c>
      <c r="R2" s="10">
        <v>9.98142</v>
      </c>
      <c r="S2" s="10">
        <v>88.098179999999999</v>
      </c>
      <c r="T2" s="8">
        <v>24</v>
      </c>
      <c r="U2" s="7">
        <v>43578</v>
      </c>
      <c r="V2" s="8">
        <v>9480828222</v>
      </c>
      <c r="W2" s="9" t="s">
        <v>53</v>
      </c>
      <c r="X2" s="8" t="s">
        <v>46</v>
      </c>
      <c r="Y2" s="9" t="s">
        <v>47</v>
      </c>
      <c r="Z2" s="8" t="s">
        <v>42</v>
      </c>
      <c r="AA2" s="9" t="s">
        <v>43</v>
      </c>
      <c r="AB2" s="10">
        <f t="shared" ref="AB2:AB8" si="0">Q2/100</f>
        <v>0.980796</v>
      </c>
    </row>
    <row r="3" spans="1:28" s="4" customFormat="1" ht="13" x14ac:dyDescent="0.3">
      <c r="A3" s="5">
        <v>2020</v>
      </c>
      <c r="B3" s="6" t="s">
        <v>32</v>
      </c>
      <c r="C3" s="7">
        <v>43591</v>
      </c>
      <c r="D3" s="8">
        <v>58</v>
      </c>
      <c r="E3" s="9" t="s">
        <v>50</v>
      </c>
      <c r="F3" s="8" t="s">
        <v>67</v>
      </c>
      <c r="G3" s="9" t="s">
        <v>68</v>
      </c>
      <c r="H3" s="8" t="str">
        <f>"000005"</f>
        <v>000005</v>
      </c>
      <c r="I3" s="7">
        <v>42942</v>
      </c>
      <c r="J3" s="8" t="str">
        <f>"000005"</f>
        <v>000005</v>
      </c>
      <c r="K3" s="7">
        <v>42942</v>
      </c>
      <c r="L3" s="8" t="str">
        <f>"000007"</f>
        <v>000007</v>
      </c>
      <c r="M3" s="7">
        <v>42942</v>
      </c>
      <c r="N3" s="8">
        <v>17</v>
      </c>
      <c r="O3" s="8" t="str">
        <f>"001261"</f>
        <v>001261</v>
      </c>
      <c r="P3" s="7">
        <v>43587</v>
      </c>
      <c r="Q3" s="10">
        <v>19.004829999999998</v>
      </c>
      <c r="R3" s="10">
        <v>2.3048299999999999</v>
      </c>
      <c r="S3" s="10">
        <v>16.7</v>
      </c>
      <c r="T3" s="8">
        <v>37</v>
      </c>
      <c r="U3" s="7">
        <v>43591</v>
      </c>
      <c r="V3" s="8">
        <v>9480828222</v>
      </c>
      <c r="W3" s="9" t="s">
        <v>69</v>
      </c>
      <c r="X3" s="8" t="s">
        <v>30</v>
      </c>
      <c r="Y3" s="9" t="s">
        <v>31</v>
      </c>
      <c r="Z3" s="8" t="s">
        <v>48</v>
      </c>
      <c r="AA3" s="9" t="s">
        <v>49</v>
      </c>
      <c r="AB3" s="10">
        <f t="shared" si="0"/>
        <v>0.19004829999999998</v>
      </c>
    </row>
    <row r="4" spans="1:28" s="4" customFormat="1" ht="13" x14ac:dyDescent="0.3">
      <c r="A4" s="5">
        <v>2021</v>
      </c>
      <c r="B4" s="6" t="s">
        <v>32</v>
      </c>
      <c r="C4" s="7">
        <v>43591</v>
      </c>
      <c r="D4" s="8">
        <v>58</v>
      </c>
      <c r="E4" s="9" t="s">
        <v>50</v>
      </c>
      <c r="F4" s="8" t="s">
        <v>70</v>
      </c>
      <c r="G4" s="9" t="s">
        <v>71</v>
      </c>
      <c r="H4" s="8" t="str">
        <f>"000003"</f>
        <v>000003</v>
      </c>
      <c r="I4" s="7">
        <v>42932</v>
      </c>
      <c r="J4" s="8" t="str">
        <f>"000002"</f>
        <v>000002</v>
      </c>
      <c r="K4" s="7">
        <v>42933</v>
      </c>
      <c r="L4" s="8" t="str">
        <f>"000002"</f>
        <v>000002</v>
      </c>
      <c r="M4" s="7">
        <v>42933</v>
      </c>
      <c r="N4" s="8">
        <v>17</v>
      </c>
      <c r="O4" s="8" t="str">
        <f>"001264"</f>
        <v>001264</v>
      </c>
      <c r="P4" s="7">
        <v>43587</v>
      </c>
      <c r="Q4" s="10">
        <v>9.7458899999999993</v>
      </c>
      <c r="R4" s="10">
        <v>1.1658900000000001</v>
      </c>
      <c r="S4" s="10">
        <v>8.58</v>
      </c>
      <c r="T4" s="8">
        <v>37</v>
      </c>
      <c r="U4" s="7">
        <v>43591</v>
      </c>
      <c r="V4" s="8">
        <v>9480828222</v>
      </c>
      <c r="W4" s="9" t="s">
        <v>72</v>
      </c>
      <c r="X4" s="8" t="s">
        <v>30</v>
      </c>
      <c r="Y4" s="9" t="s">
        <v>31</v>
      </c>
      <c r="Z4" s="8" t="s">
        <v>48</v>
      </c>
      <c r="AA4" s="9" t="s">
        <v>49</v>
      </c>
      <c r="AB4" s="10">
        <f t="shared" si="0"/>
        <v>9.7458899999999987E-2</v>
      </c>
    </row>
    <row r="5" spans="1:28" s="4" customFormat="1" ht="13" x14ac:dyDescent="0.3">
      <c r="A5" s="5">
        <v>2022</v>
      </c>
      <c r="B5" s="6" t="s">
        <v>32</v>
      </c>
      <c r="C5" s="7">
        <v>43591</v>
      </c>
      <c r="D5" s="8">
        <v>58</v>
      </c>
      <c r="E5" s="9" t="s">
        <v>50</v>
      </c>
      <c r="F5" s="8" t="s">
        <v>73</v>
      </c>
      <c r="G5" s="9" t="s">
        <v>74</v>
      </c>
      <c r="H5" s="8" t="str">
        <f>"000002"</f>
        <v>000002</v>
      </c>
      <c r="I5" s="7">
        <v>42933</v>
      </c>
      <c r="J5" s="8" t="str">
        <f>"000001"</f>
        <v>000001</v>
      </c>
      <c r="K5" s="7">
        <v>42933</v>
      </c>
      <c r="L5" s="8" t="str">
        <f>"000003"</f>
        <v>000003</v>
      </c>
      <c r="M5" s="7">
        <v>42933</v>
      </c>
      <c r="N5" s="8">
        <v>17</v>
      </c>
      <c r="O5" s="8" t="str">
        <f>"001265"</f>
        <v>001265</v>
      </c>
      <c r="P5" s="7">
        <v>43587</v>
      </c>
      <c r="Q5" s="10">
        <v>14.646430000000001</v>
      </c>
      <c r="R5" s="10">
        <v>1.7564299999999999</v>
      </c>
      <c r="S5" s="10">
        <v>12.89</v>
      </c>
      <c r="T5" s="8">
        <v>37</v>
      </c>
      <c r="U5" s="7">
        <v>43591</v>
      </c>
      <c r="V5" s="8">
        <v>9980090557</v>
      </c>
      <c r="W5" s="9" t="s">
        <v>72</v>
      </c>
      <c r="X5" s="8" t="s">
        <v>30</v>
      </c>
      <c r="Y5" s="9" t="s">
        <v>31</v>
      </c>
      <c r="Z5" s="8" t="s">
        <v>48</v>
      </c>
      <c r="AA5" s="9" t="s">
        <v>49</v>
      </c>
      <c r="AB5" s="10">
        <f t="shared" si="0"/>
        <v>0.14646429999999999</v>
      </c>
    </row>
    <row r="6" spans="1:28" s="4" customFormat="1" ht="13" x14ac:dyDescent="0.3">
      <c r="A6" s="5">
        <v>2023</v>
      </c>
      <c r="B6" s="6" t="s">
        <v>32</v>
      </c>
      <c r="C6" s="7">
        <v>43602</v>
      </c>
      <c r="D6" s="8">
        <v>58</v>
      </c>
      <c r="E6" s="9" t="s">
        <v>50</v>
      </c>
      <c r="F6" s="8" t="s">
        <v>75</v>
      </c>
      <c r="G6" s="9" t="s">
        <v>76</v>
      </c>
      <c r="H6" s="8" t="str">
        <f>"000092"</f>
        <v>000092</v>
      </c>
      <c r="I6" s="7">
        <v>42692</v>
      </c>
      <c r="J6" s="8" t="str">
        <f>"000003"</f>
        <v>000003</v>
      </c>
      <c r="K6" s="7">
        <v>42939</v>
      </c>
      <c r="L6" s="8" t="str">
        <f>"000004"</f>
        <v>000004</v>
      </c>
      <c r="M6" s="7">
        <v>42939</v>
      </c>
      <c r="N6" s="8">
        <v>17</v>
      </c>
      <c r="O6" s="8" t="str">
        <f>"001481"</f>
        <v>001481</v>
      </c>
      <c r="P6" s="7">
        <v>43599</v>
      </c>
      <c r="Q6" s="10">
        <v>48.900840000000002</v>
      </c>
      <c r="R6" s="10">
        <v>6.4008399999999996</v>
      </c>
      <c r="S6" s="10">
        <v>42.5</v>
      </c>
      <c r="T6" s="8">
        <v>49</v>
      </c>
      <c r="U6" s="7">
        <v>43602</v>
      </c>
      <c r="V6" s="8">
        <v>9480828222</v>
      </c>
      <c r="W6" s="9" t="s">
        <v>35</v>
      </c>
      <c r="X6" s="8" t="s">
        <v>36</v>
      </c>
      <c r="Y6" s="9" t="s">
        <v>37</v>
      </c>
      <c r="Z6" s="8" t="s">
        <v>48</v>
      </c>
      <c r="AA6" s="9" t="s">
        <v>49</v>
      </c>
      <c r="AB6" s="10">
        <f t="shared" si="0"/>
        <v>0.48900840000000001</v>
      </c>
    </row>
    <row r="7" spans="1:28" s="4" customFormat="1" ht="13" x14ac:dyDescent="0.3">
      <c r="A7" s="5">
        <v>2024</v>
      </c>
      <c r="B7" s="6" t="s">
        <v>32</v>
      </c>
      <c r="C7" s="7">
        <v>43603</v>
      </c>
      <c r="D7" s="8">
        <v>58</v>
      </c>
      <c r="E7" s="9" t="s">
        <v>50</v>
      </c>
      <c r="F7" s="8" t="s">
        <v>77</v>
      </c>
      <c r="G7" s="9" t="s">
        <v>78</v>
      </c>
      <c r="H7" s="8" t="str">
        <f>"000011"</f>
        <v>000011</v>
      </c>
      <c r="I7" s="7">
        <v>42857</v>
      </c>
      <c r="J7" s="8" t="str">
        <f>"000009"</f>
        <v>000009</v>
      </c>
      <c r="K7" s="7">
        <v>43002</v>
      </c>
      <c r="L7" s="8" t="str">
        <f>"000009"</f>
        <v>000009</v>
      </c>
      <c r="M7" s="7">
        <v>43002</v>
      </c>
      <c r="N7" s="8">
        <v>17</v>
      </c>
      <c r="O7" s="8" t="str">
        <f>"001666"</f>
        <v>001666</v>
      </c>
      <c r="P7" s="7">
        <v>43602</v>
      </c>
      <c r="Q7" s="10">
        <v>35.439279999999997</v>
      </c>
      <c r="R7" s="10">
        <v>3.5392800000000002</v>
      </c>
      <c r="S7" s="10">
        <v>31.9</v>
      </c>
      <c r="T7" s="8">
        <v>50</v>
      </c>
      <c r="U7" s="7">
        <v>43603</v>
      </c>
      <c r="V7" s="8">
        <v>123456789</v>
      </c>
      <c r="W7" s="9" t="s">
        <v>79</v>
      </c>
      <c r="X7" s="8" t="s">
        <v>80</v>
      </c>
      <c r="Y7" s="9" t="s">
        <v>81</v>
      </c>
      <c r="Z7" s="8" t="s">
        <v>48</v>
      </c>
      <c r="AA7" s="9" t="s">
        <v>49</v>
      </c>
      <c r="AB7" s="10">
        <f t="shared" si="0"/>
        <v>0.35439279999999995</v>
      </c>
    </row>
    <row r="8" spans="1:28" s="4" customFormat="1" ht="13" x14ac:dyDescent="0.3">
      <c r="A8" s="5">
        <v>2025</v>
      </c>
      <c r="B8" s="6" t="s">
        <v>32</v>
      </c>
      <c r="C8" s="7">
        <v>43603</v>
      </c>
      <c r="D8" s="8">
        <v>58</v>
      </c>
      <c r="E8" s="9" t="s">
        <v>50</v>
      </c>
      <c r="F8" s="8" t="s">
        <v>82</v>
      </c>
      <c r="G8" s="9" t="s">
        <v>83</v>
      </c>
      <c r="H8" s="8" t="str">
        <f>"000012"</f>
        <v>000012</v>
      </c>
      <c r="I8" s="7">
        <v>42857</v>
      </c>
      <c r="J8" s="8" t="str">
        <f>"000010"</f>
        <v>000010</v>
      </c>
      <c r="K8" s="7">
        <v>43002</v>
      </c>
      <c r="L8" s="8" t="str">
        <f>"000010"</f>
        <v>000010</v>
      </c>
      <c r="M8" s="7">
        <v>43002</v>
      </c>
      <c r="N8" s="8">
        <v>17</v>
      </c>
      <c r="O8" s="8" t="str">
        <f>"001754"</f>
        <v>001754</v>
      </c>
      <c r="P8" s="7">
        <v>43602</v>
      </c>
      <c r="Q8" s="10">
        <v>41.103409999999997</v>
      </c>
      <c r="R8" s="10">
        <v>4.1434100000000003</v>
      </c>
      <c r="S8" s="10">
        <v>36.96</v>
      </c>
      <c r="T8" s="8">
        <v>50</v>
      </c>
      <c r="U8" s="7">
        <v>43603</v>
      </c>
      <c r="V8" s="8">
        <v>123456789</v>
      </c>
      <c r="W8" s="9" t="s">
        <v>84</v>
      </c>
      <c r="X8" s="8" t="s">
        <v>80</v>
      </c>
      <c r="Y8" s="9" t="s">
        <v>81</v>
      </c>
      <c r="Z8" s="8" t="s">
        <v>48</v>
      </c>
      <c r="AA8" s="9" t="s">
        <v>49</v>
      </c>
      <c r="AB8" s="10">
        <f t="shared" si="0"/>
        <v>0.41103409999999996</v>
      </c>
    </row>
    <row r="9" spans="1:28" s="4" customFormat="1" ht="13" x14ac:dyDescent="0.3">
      <c r="A9" s="5">
        <v>2026</v>
      </c>
      <c r="B9" s="6" t="s">
        <v>29</v>
      </c>
      <c r="C9" s="7">
        <v>43634</v>
      </c>
      <c r="D9" s="8">
        <v>58</v>
      </c>
      <c r="E9" s="9" t="s">
        <v>50</v>
      </c>
      <c r="F9" s="8" t="s">
        <v>54</v>
      </c>
      <c r="G9" s="9" t="s">
        <v>55</v>
      </c>
      <c r="H9" s="8" t="str">
        <f>"000026"</f>
        <v>000026</v>
      </c>
      <c r="I9" s="7">
        <v>42898</v>
      </c>
      <c r="J9" s="8" t="str">
        <f>"000030"</f>
        <v>000030</v>
      </c>
      <c r="K9" s="7">
        <v>43094</v>
      </c>
      <c r="L9" s="8" t="str">
        <f>"000042"</f>
        <v>000042</v>
      </c>
      <c r="M9" s="7">
        <v>43094</v>
      </c>
      <c r="N9" s="8">
        <v>17</v>
      </c>
      <c r="O9" s="8" t="str">
        <f>"002649"</f>
        <v>002649</v>
      </c>
      <c r="P9" s="7">
        <v>43628</v>
      </c>
      <c r="Q9" s="10">
        <v>9.7067099999999993</v>
      </c>
      <c r="R9" s="10">
        <v>1.9467099999999999</v>
      </c>
      <c r="S9" s="10">
        <v>7.76</v>
      </c>
      <c r="T9" s="8">
        <v>88</v>
      </c>
      <c r="U9" s="7">
        <v>43634</v>
      </c>
      <c r="V9" s="8">
        <v>123456789</v>
      </c>
      <c r="W9" s="9" t="s">
        <v>56</v>
      </c>
      <c r="X9" s="8" t="s">
        <v>30</v>
      </c>
      <c r="Y9" s="9" t="s">
        <v>31</v>
      </c>
      <c r="Z9" s="8" t="s">
        <v>48</v>
      </c>
      <c r="AA9" s="9" t="s">
        <v>49</v>
      </c>
      <c r="AB9" s="10">
        <v>9.706709999999999E-2</v>
      </c>
    </row>
    <row r="10" spans="1:28" s="4" customFormat="1" ht="13" x14ac:dyDescent="0.3">
      <c r="A10" s="5">
        <v>2027</v>
      </c>
      <c r="B10" s="6" t="s">
        <v>29</v>
      </c>
      <c r="C10" s="7">
        <v>43641</v>
      </c>
      <c r="D10" s="8">
        <v>58</v>
      </c>
      <c r="E10" s="9" t="s">
        <v>50</v>
      </c>
      <c r="F10" s="8" t="s">
        <v>57</v>
      </c>
      <c r="G10" s="9" t="s">
        <v>58</v>
      </c>
      <c r="H10" s="8" t="str">
        <f>"000187"</f>
        <v>000187</v>
      </c>
      <c r="I10" s="7">
        <v>43458</v>
      </c>
      <c r="J10" s="8" t="str">
        <f>"000023"</f>
        <v>000023</v>
      </c>
      <c r="K10" s="7">
        <v>43604</v>
      </c>
      <c r="L10" s="8" t="str">
        <f>"000038"</f>
        <v>000038</v>
      </c>
      <c r="M10" s="7">
        <v>43605</v>
      </c>
      <c r="N10" s="8">
        <v>18</v>
      </c>
      <c r="O10" s="8" t="str">
        <f>"002843"</f>
        <v>002843</v>
      </c>
      <c r="P10" s="7">
        <v>43635</v>
      </c>
      <c r="Q10" s="10">
        <v>49.983339999999998</v>
      </c>
      <c r="R10" s="10">
        <v>4.9272999999999998</v>
      </c>
      <c r="S10" s="10">
        <v>45.056040000000003</v>
      </c>
      <c r="T10" s="8">
        <v>93</v>
      </c>
      <c r="U10" s="7">
        <v>43641</v>
      </c>
      <c r="V10" s="8">
        <v>123456789</v>
      </c>
      <c r="W10" s="9" t="s">
        <v>35</v>
      </c>
      <c r="X10" s="8" t="s">
        <v>38</v>
      </c>
      <c r="Y10" s="9" t="s">
        <v>39</v>
      </c>
      <c r="Z10" s="8" t="s">
        <v>48</v>
      </c>
      <c r="AA10" s="9" t="s">
        <v>49</v>
      </c>
      <c r="AB10" s="10">
        <v>0.49983339999999998</v>
      </c>
    </row>
    <row r="11" spans="1:28" s="4" customFormat="1" ht="13" x14ac:dyDescent="0.3">
      <c r="A11" s="5">
        <v>2028</v>
      </c>
      <c r="B11" s="6" t="s">
        <v>29</v>
      </c>
      <c r="C11" s="7">
        <v>43641</v>
      </c>
      <c r="D11" s="8">
        <v>58</v>
      </c>
      <c r="E11" s="9" t="s">
        <v>50</v>
      </c>
      <c r="F11" s="8" t="s">
        <v>59</v>
      </c>
      <c r="G11" s="9" t="s">
        <v>60</v>
      </c>
      <c r="H11" s="8" t="str">
        <f>"000089"</f>
        <v>000089</v>
      </c>
      <c r="I11" s="7">
        <v>43361</v>
      </c>
      <c r="J11" s="8" t="str">
        <f>"000154"</f>
        <v>000154</v>
      </c>
      <c r="K11" s="7">
        <v>43540</v>
      </c>
      <c r="L11" s="8" t="str">
        <f>"000226"</f>
        <v>000226</v>
      </c>
      <c r="M11" s="7">
        <v>43540</v>
      </c>
      <c r="N11" s="8">
        <v>18</v>
      </c>
      <c r="O11" s="8" t="str">
        <f>"002844"</f>
        <v>002844</v>
      </c>
      <c r="P11" s="7">
        <v>43635</v>
      </c>
      <c r="Q11" s="10">
        <v>4.7488200000000003</v>
      </c>
      <c r="R11" s="10">
        <v>0.51558999999999999</v>
      </c>
      <c r="S11" s="10">
        <v>4.2332299999999998</v>
      </c>
      <c r="T11" s="8">
        <v>93</v>
      </c>
      <c r="U11" s="7">
        <v>43641</v>
      </c>
      <c r="V11" s="8">
        <v>123456789</v>
      </c>
      <c r="W11" s="9" t="s">
        <v>35</v>
      </c>
      <c r="X11" s="8" t="s">
        <v>40</v>
      </c>
      <c r="Y11" s="9" t="s">
        <v>41</v>
      </c>
      <c r="Z11" s="8" t="s">
        <v>48</v>
      </c>
      <c r="AA11" s="9" t="s">
        <v>49</v>
      </c>
      <c r="AB11" s="10">
        <v>4.7488200000000001E-2</v>
      </c>
    </row>
    <row r="12" spans="1:28" s="4" customFormat="1" ht="13" x14ac:dyDescent="0.3">
      <c r="A12" s="5">
        <v>2029</v>
      </c>
      <c r="B12" s="6" t="s">
        <v>29</v>
      </c>
      <c r="C12" s="7">
        <v>43641</v>
      </c>
      <c r="D12" s="8">
        <v>58</v>
      </c>
      <c r="E12" s="9" t="s">
        <v>50</v>
      </c>
      <c r="F12" s="8" t="s">
        <v>61</v>
      </c>
      <c r="G12" s="9" t="s">
        <v>62</v>
      </c>
      <c r="H12" s="8" t="str">
        <f>"000088"</f>
        <v>000088</v>
      </c>
      <c r="I12" s="7">
        <v>43360</v>
      </c>
      <c r="J12" s="8" t="str">
        <f>"000153"</f>
        <v>000153</v>
      </c>
      <c r="K12" s="7">
        <v>43540</v>
      </c>
      <c r="L12" s="8" t="str">
        <f>"000225"</f>
        <v>000225</v>
      </c>
      <c r="M12" s="7">
        <v>43540</v>
      </c>
      <c r="N12" s="8">
        <v>18</v>
      </c>
      <c r="O12" s="8" t="str">
        <f>"002845"</f>
        <v>002845</v>
      </c>
      <c r="P12" s="7">
        <v>43635</v>
      </c>
      <c r="Q12" s="10">
        <v>4.7531499999999998</v>
      </c>
      <c r="R12" s="10">
        <v>0.51678999999999997</v>
      </c>
      <c r="S12" s="10">
        <v>4.2363600000000003</v>
      </c>
      <c r="T12" s="8">
        <v>93</v>
      </c>
      <c r="U12" s="7">
        <v>43641</v>
      </c>
      <c r="V12" s="8">
        <v>123456789</v>
      </c>
      <c r="W12" s="9" t="s">
        <v>35</v>
      </c>
      <c r="X12" s="8" t="s">
        <v>44</v>
      </c>
      <c r="Y12" s="9" t="s">
        <v>45</v>
      </c>
      <c r="Z12" s="8" t="s">
        <v>48</v>
      </c>
      <c r="AA12" s="9" t="s">
        <v>49</v>
      </c>
      <c r="AB12" s="10">
        <v>4.7531499999999997E-2</v>
      </c>
    </row>
    <row r="13" spans="1:28" s="4" customFormat="1" ht="13" x14ac:dyDescent="0.3">
      <c r="A13" s="5">
        <v>2030</v>
      </c>
      <c r="B13" s="6" t="s">
        <v>29</v>
      </c>
      <c r="C13" s="7">
        <v>43641</v>
      </c>
      <c r="D13" s="8">
        <v>58</v>
      </c>
      <c r="E13" s="9" t="s">
        <v>50</v>
      </c>
      <c r="F13" s="8" t="s">
        <v>63</v>
      </c>
      <c r="G13" s="9" t="s">
        <v>64</v>
      </c>
      <c r="H13" s="8" t="str">
        <f>"000172"</f>
        <v>000172</v>
      </c>
      <c r="I13" s="7">
        <v>43443</v>
      </c>
      <c r="J13" s="8" t="str">
        <f>"000024"</f>
        <v>000024</v>
      </c>
      <c r="K13" s="7">
        <v>43604</v>
      </c>
      <c r="L13" s="8" t="str">
        <f>"000037"</f>
        <v>000037</v>
      </c>
      <c r="M13" s="7">
        <v>43605</v>
      </c>
      <c r="N13" s="8">
        <v>18</v>
      </c>
      <c r="O13" s="8" t="str">
        <f>"002847"</f>
        <v>002847</v>
      </c>
      <c r="P13" s="7">
        <v>43635</v>
      </c>
      <c r="Q13" s="10">
        <v>14.973050000000001</v>
      </c>
      <c r="R13" s="10">
        <v>1.3482400000000001</v>
      </c>
      <c r="S13" s="10">
        <v>13.62481</v>
      </c>
      <c r="T13" s="8">
        <v>93</v>
      </c>
      <c r="U13" s="7">
        <v>43641</v>
      </c>
      <c r="V13" s="8">
        <v>123456789</v>
      </c>
      <c r="W13" s="9" t="s">
        <v>35</v>
      </c>
      <c r="X13" s="8" t="s">
        <v>38</v>
      </c>
      <c r="Y13" s="9" t="s">
        <v>39</v>
      </c>
      <c r="Z13" s="8" t="s">
        <v>48</v>
      </c>
      <c r="AA13" s="9" t="s">
        <v>49</v>
      </c>
      <c r="AB13" s="10">
        <v>0.14973050000000002</v>
      </c>
    </row>
    <row r="14" spans="1:28" s="4" customFormat="1" ht="13" x14ac:dyDescent="0.3">
      <c r="A14" s="5">
        <v>2031</v>
      </c>
      <c r="B14" s="6" t="s">
        <v>29</v>
      </c>
      <c r="C14" s="7">
        <v>43641</v>
      </c>
      <c r="D14" s="8">
        <v>58</v>
      </c>
      <c r="E14" s="9" t="s">
        <v>50</v>
      </c>
      <c r="F14" s="8" t="s">
        <v>65</v>
      </c>
      <c r="G14" s="9" t="s">
        <v>66</v>
      </c>
      <c r="H14" s="8" t="str">
        <f>"000154"</f>
        <v>000154</v>
      </c>
      <c r="I14" s="7">
        <v>43426</v>
      </c>
      <c r="J14" s="8" t="str">
        <f>"000155"</f>
        <v>000155</v>
      </c>
      <c r="K14" s="7">
        <v>43542</v>
      </c>
      <c r="L14" s="8" t="str">
        <f>"000228"</f>
        <v>000228</v>
      </c>
      <c r="M14" s="7">
        <v>43542</v>
      </c>
      <c r="N14" s="8">
        <v>18</v>
      </c>
      <c r="O14" s="8" t="str">
        <f>"002848"</f>
        <v>002848</v>
      </c>
      <c r="P14" s="7">
        <v>43635</v>
      </c>
      <c r="Q14" s="10">
        <v>14.62387</v>
      </c>
      <c r="R14" s="10">
        <v>1.7044600000000001</v>
      </c>
      <c r="S14" s="10">
        <v>12.919409999999999</v>
      </c>
      <c r="T14" s="8">
        <v>93</v>
      </c>
      <c r="U14" s="7">
        <v>43641</v>
      </c>
      <c r="V14" s="8">
        <v>123456789</v>
      </c>
      <c r="W14" s="9" t="s">
        <v>35</v>
      </c>
      <c r="X14" s="8" t="s">
        <v>33</v>
      </c>
      <c r="Y14" s="9" t="s">
        <v>34</v>
      </c>
      <c r="Z14" s="8" t="s">
        <v>48</v>
      </c>
      <c r="AA14" s="9" t="s">
        <v>49</v>
      </c>
      <c r="AB14" s="10">
        <v>0.1462387</v>
      </c>
    </row>
    <row r="15" spans="1:28" s="4" customFormat="1" ht="13" x14ac:dyDescent="0.3">
      <c r="A15" s="5">
        <v>2032</v>
      </c>
      <c r="B15" s="6" t="s">
        <v>85</v>
      </c>
      <c r="C15" s="7">
        <v>43650</v>
      </c>
      <c r="D15" s="8">
        <v>58</v>
      </c>
      <c r="E15" s="9" t="s">
        <v>50</v>
      </c>
      <c r="F15" s="8" t="s">
        <v>86</v>
      </c>
      <c r="G15" s="11" t="s">
        <v>87</v>
      </c>
      <c r="H15" s="8" t="str">
        <f>"000150"</f>
        <v>000150</v>
      </c>
      <c r="I15" s="7">
        <v>43419</v>
      </c>
      <c r="J15" s="8" t="str">
        <f>"000001"</f>
        <v>000001</v>
      </c>
      <c r="K15" s="7">
        <v>43565</v>
      </c>
      <c r="L15" s="8" t="str">
        <f>"000006"</f>
        <v>000006</v>
      </c>
      <c r="M15" s="7">
        <v>43565</v>
      </c>
      <c r="N15" s="8">
        <v>18</v>
      </c>
      <c r="O15" s="8" t="str">
        <f>"003265"</f>
        <v>003265</v>
      </c>
      <c r="P15" s="7">
        <v>43645</v>
      </c>
      <c r="Q15" s="12">
        <v>49.813870000000001</v>
      </c>
      <c r="R15" s="12">
        <v>4.9244199999999996</v>
      </c>
      <c r="S15" s="12">
        <v>44.889449999999997</v>
      </c>
      <c r="T15" s="8">
        <v>106</v>
      </c>
      <c r="U15" s="7">
        <v>43650</v>
      </c>
      <c r="V15" s="8">
        <v>123456789</v>
      </c>
      <c r="W15" s="11" t="s">
        <v>35</v>
      </c>
      <c r="X15" s="8" t="s">
        <v>33</v>
      </c>
      <c r="Y15" s="11" t="s">
        <v>34</v>
      </c>
      <c r="Z15" s="8" t="s">
        <v>48</v>
      </c>
      <c r="AA15" s="11" t="s">
        <v>49</v>
      </c>
      <c r="AB15" s="12">
        <f t="shared" ref="AB15:AB23" si="1">Q15/100</f>
        <v>0.49813869999999999</v>
      </c>
    </row>
    <row r="16" spans="1:28" s="4" customFormat="1" ht="13" x14ac:dyDescent="0.3">
      <c r="A16" s="5">
        <v>2033</v>
      </c>
      <c r="B16" s="6" t="s">
        <v>85</v>
      </c>
      <c r="C16" s="7">
        <v>43669</v>
      </c>
      <c r="D16" s="8">
        <v>58</v>
      </c>
      <c r="E16" s="9" t="s">
        <v>50</v>
      </c>
      <c r="F16" s="8" t="s">
        <v>88</v>
      </c>
      <c r="G16" s="11" t="s">
        <v>89</v>
      </c>
      <c r="H16" s="8" t="str">
        <f>"000015"</f>
        <v>000015</v>
      </c>
      <c r="I16" s="7">
        <v>42872</v>
      </c>
      <c r="J16" s="8" t="str">
        <f>"000037"</f>
        <v>000037</v>
      </c>
      <c r="K16" s="7">
        <v>43132</v>
      </c>
      <c r="L16" s="8" t="str">
        <f>"000047"</f>
        <v>000047</v>
      </c>
      <c r="M16" s="7">
        <v>43132</v>
      </c>
      <c r="N16" s="8">
        <v>17</v>
      </c>
      <c r="O16" s="8" t="str">
        <f>"003487"</f>
        <v>003487</v>
      </c>
      <c r="P16" s="7">
        <v>43663</v>
      </c>
      <c r="Q16" s="12">
        <v>46.678489999999996</v>
      </c>
      <c r="R16" s="12">
        <v>4.7784899999999997</v>
      </c>
      <c r="S16" s="12">
        <v>41.9</v>
      </c>
      <c r="T16" s="8">
        <v>122</v>
      </c>
      <c r="U16" s="7">
        <v>43669</v>
      </c>
      <c r="V16" s="8">
        <v>123456789</v>
      </c>
      <c r="W16" s="11" t="s">
        <v>84</v>
      </c>
      <c r="X16" s="8" t="s">
        <v>80</v>
      </c>
      <c r="Y16" s="11" t="s">
        <v>90</v>
      </c>
      <c r="Z16" s="8" t="s">
        <v>48</v>
      </c>
      <c r="AA16" s="11" t="s">
        <v>49</v>
      </c>
      <c r="AB16" s="12">
        <f t="shared" si="1"/>
        <v>0.46678489999999995</v>
      </c>
    </row>
    <row r="17" spans="1:28" s="4" customFormat="1" ht="13" x14ac:dyDescent="0.3">
      <c r="A17" s="5">
        <v>2034</v>
      </c>
      <c r="B17" s="6" t="s">
        <v>85</v>
      </c>
      <c r="C17" s="7">
        <v>43675</v>
      </c>
      <c r="D17" s="8">
        <v>58</v>
      </c>
      <c r="E17" s="9" t="s">
        <v>50</v>
      </c>
      <c r="F17" s="8" t="s">
        <v>91</v>
      </c>
      <c r="G17" s="11" t="s">
        <v>92</v>
      </c>
      <c r="H17" s="8" t="str">
        <f>"000037"</f>
        <v>000037</v>
      </c>
      <c r="I17" s="7">
        <v>43315</v>
      </c>
      <c r="J17" s="8" t="str">
        <f>"000070"</f>
        <v>000070</v>
      </c>
      <c r="K17" s="7">
        <v>43374</v>
      </c>
      <c r="L17" s="8" t="str">
        <f>"000119"</f>
        <v>000119</v>
      </c>
      <c r="M17" s="7">
        <v>43374</v>
      </c>
      <c r="N17" s="8">
        <v>17</v>
      </c>
      <c r="O17" s="8" t="str">
        <f>"004100"</f>
        <v>004100</v>
      </c>
      <c r="P17" s="7">
        <v>43672</v>
      </c>
      <c r="Q17" s="12">
        <v>49.258679999999998</v>
      </c>
      <c r="R17" s="12">
        <v>2.0196200000000002</v>
      </c>
      <c r="S17" s="12">
        <v>47.239060000000002</v>
      </c>
      <c r="T17" s="8">
        <v>133</v>
      </c>
      <c r="U17" s="7">
        <v>43675</v>
      </c>
      <c r="V17" s="8">
        <v>9886066040</v>
      </c>
      <c r="W17" s="11" t="s">
        <v>93</v>
      </c>
      <c r="X17" s="8" t="s">
        <v>94</v>
      </c>
      <c r="Y17" s="11" t="s">
        <v>95</v>
      </c>
      <c r="Z17" s="8" t="s">
        <v>48</v>
      </c>
      <c r="AA17" s="11" t="s">
        <v>49</v>
      </c>
      <c r="AB17" s="12">
        <f t="shared" si="1"/>
        <v>0.49258679999999999</v>
      </c>
    </row>
    <row r="18" spans="1:28" s="4" customFormat="1" ht="13" x14ac:dyDescent="0.3">
      <c r="A18" s="5">
        <v>2035</v>
      </c>
      <c r="B18" s="6" t="s">
        <v>85</v>
      </c>
      <c r="C18" s="7">
        <v>43675</v>
      </c>
      <c r="D18" s="8">
        <v>58</v>
      </c>
      <c r="E18" s="9" t="s">
        <v>50</v>
      </c>
      <c r="F18" s="8" t="s">
        <v>96</v>
      </c>
      <c r="G18" s="11" t="s">
        <v>97</v>
      </c>
      <c r="H18" s="8" t="str">
        <f>"000039"</f>
        <v>000039</v>
      </c>
      <c r="I18" s="7">
        <v>43315</v>
      </c>
      <c r="J18" s="8" t="str">
        <f>"000069"</f>
        <v>000069</v>
      </c>
      <c r="K18" s="7">
        <v>43374</v>
      </c>
      <c r="L18" s="8" t="str">
        <f>"000118"</f>
        <v>000118</v>
      </c>
      <c r="M18" s="7">
        <v>43374</v>
      </c>
      <c r="N18" s="8">
        <v>17</v>
      </c>
      <c r="O18" s="8" t="str">
        <f>"004101"</f>
        <v>004101</v>
      </c>
      <c r="P18" s="7">
        <v>43672</v>
      </c>
      <c r="Q18" s="12">
        <v>51.736629999999998</v>
      </c>
      <c r="R18" s="12">
        <v>2.1274000000000002</v>
      </c>
      <c r="S18" s="12">
        <v>49.609229999999997</v>
      </c>
      <c r="T18" s="8">
        <v>133</v>
      </c>
      <c r="U18" s="7">
        <v>43675</v>
      </c>
      <c r="V18" s="8">
        <v>9886066040</v>
      </c>
      <c r="W18" s="11" t="s">
        <v>93</v>
      </c>
      <c r="X18" s="8" t="s">
        <v>80</v>
      </c>
      <c r="Y18" s="11" t="s">
        <v>90</v>
      </c>
      <c r="Z18" s="8" t="s">
        <v>48</v>
      </c>
      <c r="AA18" s="11" t="s">
        <v>49</v>
      </c>
      <c r="AB18" s="12">
        <f t="shared" si="1"/>
        <v>0.51736629999999995</v>
      </c>
    </row>
    <row r="19" spans="1:28" s="4" customFormat="1" ht="13" x14ac:dyDescent="0.3">
      <c r="A19" s="5">
        <v>2036</v>
      </c>
      <c r="B19" s="6" t="s">
        <v>98</v>
      </c>
      <c r="C19" s="7">
        <v>43679</v>
      </c>
      <c r="D19" s="8">
        <v>58</v>
      </c>
      <c r="E19" s="9" t="s">
        <v>50</v>
      </c>
      <c r="F19" s="8" t="s">
        <v>99</v>
      </c>
      <c r="G19" s="11" t="s">
        <v>100</v>
      </c>
      <c r="H19" s="8" t="str">
        <f>"000033"</f>
        <v>000033</v>
      </c>
      <c r="I19" s="7">
        <v>43315</v>
      </c>
      <c r="J19" s="8" t="str">
        <f>"000074"</f>
        <v>000074</v>
      </c>
      <c r="K19" s="7">
        <v>43374</v>
      </c>
      <c r="L19" s="8" t="str">
        <f>"000123"</f>
        <v>000123</v>
      </c>
      <c r="M19" s="7">
        <v>43374</v>
      </c>
      <c r="N19" s="8">
        <v>17</v>
      </c>
      <c r="O19" s="8" t="str">
        <f>"004116"</f>
        <v>004116</v>
      </c>
      <c r="P19" s="7">
        <v>43675</v>
      </c>
      <c r="Q19" s="12">
        <v>49.073189999999997</v>
      </c>
      <c r="R19" s="12">
        <v>2.0120200000000001</v>
      </c>
      <c r="S19" s="12">
        <v>47.061169999999997</v>
      </c>
      <c r="T19" s="8">
        <v>140</v>
      </c>
      <c r="U19" s="7">
        <v>43679</v>
      </c>
      <c r="V19" s="8">
        <v>9886066040</v>
      </c>
      <c r="W19" s="11" t="s">
        <v>93</v>
      </c>
      <c r="X19" s="8" t="s">
        <v>94</v>
      </c>
      <c r="Y19" s="11" t="s">
        <v>95</v>
      </c>
      <c r="Z19" s="8" t="s">
        <v>48</v>
      </c>
      <c r="AA19" s="11" t="s">
        <v>49</v>
      </c>
      <c r="AB19" s="12">
        <f t="shared" si="1"/>
        <v>0.49073189999999994</v>
      </c>
    </row>
    <row r="20" spans="1:28" s="4" customFormat="1" ht="13" x14ac:dyDescent="0.3">
      <c r="A20" s="5">
        <v>2037</v>
      </c>
      <c r="B20" s="6" t="s">
        <v>101</v>
      </c>
      <c r="C20" s="7">
        <v>43717</v>
      </c>
      <c r="D20" s="8">
        <v>58</v>
      </c>
      <c r="E20" s="9" t="s">
        <v>50</v>
      </c>
      <c r="F20" s="8" t="s">
        <v>102</v>
      </c>
      <c r="G20" s="11" t="s">
        <v>103</v>
      </c>
      <c r="H20" s="8" t="str">
        <f>"000169"</f>
        <v>000169</v>
      </c>
      <c r="I20" s="7">
        <v>43438</v>
      </c>
      <c r="J20" s="8" t="str">
        <f>"000046"</f>
        <v>000046</v>
      </c>
      <c r="K20" s="7">
        <v>43645</v>
      </c>
      <c r="L20" s="8" t="str">
        <f>"000068"</f>
        <v>000068</v>
      </c>
      <c r="M20" s="7">
        <v>43645</v>
      </c>
      <c r="N20" s="8">
        <v>18</v>
      </c>
      <c r="O20" s="8" t="str">
        <f>"004772"</f>
        <v>004772</v>
      </c>
      <c r="P20" s="7">
        <v>43703</v>
      </c>
      <c r="Q20" s="12">
        <v>49.790579999999999</v>
      </c>
      <c r="R20" s="12">
        <v>4.1008500000000003</v>
      </c>
      <c r="S20" s="12">
        <v>45.689729999999997</v>
      </c>
      <c r="T20" s="8">
        <v>178</v>
      </c>
      <c r="U20" s="7">
        <v>43717</v>
      </c>
      <c r="V20" s="8">
        <v>123456789</v>
      </c>
      <c r="W20" s="11" t="s">
        <v>35</v>
      </c>
      <c r="X20" s="8" t="s">
        <v>104</v>
      </c>
      <c r="Y20" s="11" t="s">
        <v>105</v>
      </c>
      <c r="Z20" s="8" t="s">
        <v>48</v>
      </c>
      <c r="AA20" s="11" t="s">
        <v>49</v>
      </c>
      <c r="AB20" s="12">
        <f t="shared" si="1"/>
        <v>0.49790580000000001</v>
      </c>
    </row>
    <row r="21" spans="1:28" s="4" customFormat="1" ht="13" x14ac:dyDescent="0.3">
      <c r="A21" s="5">
        <v>2038</v>
      </c>
      <c r="B21" s="6" t="s">
        <v>101</v>
      </c>
      <c r="C21" s="7">
        <v>43726</v>
      </c>
      <c r="D21" s="8">
        <v>58</v>
      </c>
      <c r="E21" s="9" t="s">
        <v>50</v>
      </c>
      <c r="F21" s="8" t="s">
        <v>106</v>
      </c>
      <c r="G21" s="11" t="s">
        <v>107</v>
      </c>
      <c r="H21" s="8" t="str">
        <f>"000032"</f>
        <v>000032</v>
      </c>
      <c r="I21" s="7">
        <v>43305</v>
      </c>
      <c r="J21" s="8" t="str">
        <f>"000043"</f>
        <v>000043</v>
      </c>
      <c r="K21" s="7">
        <v>43635</v>
      </c>
      <c r="L21" s="8" t="str">
        <f>"000063"</f>
        <v>000063</v>
      </c>
      <c r="M21" s="7">
        <v>43635</v>
      </c>
      <c r="N21" s="8">
        <v>17</v>
      </c>
      <c r="O21" s="8" t="str">
        <f>"005090"</f>
        <v>005090</v>
      </c>
      <c r="P21" s="7">
        <v>43720</v>
      </c>
      <c r="Q21" s="12">
        <v>11.73385</v>
      </c>
      <c r="R21" s="12">
        <v>0.98984000000000005</v>
      </c>
      <c r="S21" s="12">
        <v>10.744009999999999</v>
      </c>
      <c r="T21" s="8">
        <v>191</v>
      </c>
      <c r="U21" s="7">
        <v>43726</v>
      </c>
      <c r="V21" s="8">
        <v>123456789</v>
      </c>
      <c r="W21" s="11" t="s">
        <v>35</v>
      </c>
      <c r="X21" s="8" t="s">
        <v>108</v>
      </c>
      <c r="Y21" s="11" t="s">
        <v>109</v>
      </c>
      <c r="Z21" s="8" t="s">
        <v>48</v>
      </c>
      <c r="AA21" s="11" t="s">
        <v>49</v>
      </c>
      <c r="AB21" s="12">
        <f t="shared" si="1"/>
        <v>0.1173385</v>
      </c>
    </row>
    <row r="22" spans="1:28" s="4" customFormat="1" ht="13" x14ac:dyDescent="0.3">
      <c r="A22" s="5">
        <v>2039</v>
      </c>
      <c r="B22" s="6" t="s">
        <v>101</v>
      </c>
      <c r="C22" s="7">
        <v>43729</v>
      </c>
      <c r="D22" s="8">
        <v>58</v>
      </c>
      <c r="E22" s="9" t="s">
        <v>50</v>
      </c>
      <c r="F22" s="8" t="s">
        <v>110</v>
      </c>
      <c r="G22" s="11" t="s">
        <v>111</v>
      </c>
      <c r="H22" s="8" t="str">
        <f>"000016"</f>
        <v>000016</v>
      </c>
      <c r="I22" s="7">
        <v>42992</v>
      </c>
      <c r="J22" s="8" t="str">
        <f>"000005"</f>
        <v>000005</v>
      </c>
      <c r="K22" s="7">
        <v>43198</v>
      </c>
      <c r="L22" s="8" t="str">
        <f>"000007"</f>
        <v>000007</v>
      </c>
      <c r="M22" s="7">
        <v>43198</v>
      </c>
      <c r="N22" s="8">
        <v>17</v>
      </c>
      <c r="O22" s="8" t="str">
        <f>"005018"</f>
        <v>005018</v>
      </c>
      <c r="P22" s="7">
        <v>43719</v>
      </c>
      <c r="Q22" s="12">
        <v>49.223460000000003</v>
      </c>
      <c r="R22" s="12">
        <v>7.2230999999999996</v>
      </c>
      <c r="S22" s="12">
        <v>42.000360000000001</v>
      </c>
      <c r="T22" s="8">
        <v>194</v>
      </c>
      <c r="U22" s="7">
        <v>43729</v>
      </c>
      <c r="V22" s="8">
        <v>123456789</v>
      </c>
      <c r="W22" s="11" t="s">
        <v>35</v>
      </c>
      <c r="X22" s="8" t="s">
        <v>36</v>
      </c>
      <c r="Y22" s="11" t="s">
        <v>37</v>
      </c>
      <c r="Z22" s="8" t="s">
        <v>48</v>
      </c>
      <c r="AA22" s="11" t="s">
        <v>49</v>
      </c>
      <c r="AB22" s="12">
        <f t="shared" si="1"/>
        <v>0.49223460000000002</v>
      </c>
    </row>
    <row r="23" spans="1:28" s="4" customFormat="1" ht="13" x14ac:dyDescent="0.3">
      <c r="A23" s="5">
        <v>2040</v>
      </c>
      <c r="B23" s="6" t="s">
        <v>101</v>
      </c>
      <c r="C23" s="7">
        <v>43732</v>
      </c>
      <c r="D23" s="8">
        <v>58</v>
      </c>
      <c r="E23" s="9" t="s">
        <v>50</v>
      </c>
      <c r="F23" s="8" t="s">
        <v>112</v>
      </c>
      <c r="G23" s="11" t="s">
        <v>113</v>
      </c>
      <c r="H23" s="8" t="str">
        <f>"000123"</f>
        <v>000123</v>
      </c>
      <c r="I23" s="7">
        <v>42817</v>
      </c>
      <c r="J23" s="8" t="str">
        <f>"000010"</f>
        <v>000010</v>
      </c>
      <c r="K23" s="7">
        <v>43209</v>
      </c>
      <c r="L23" s="8" t="str">
        <f>"000022"</f>
        <v>000022</v>
      </c>
      <c r="M23" s="7">
        <v>43209</v>
      </c>
      <c r="N23" s="8">
        <v>17</v>
      </c>
      <c r="O23" s="8" t="str">
        <f>"005321"</f>
        <v>005321</v>
      </c>
      <c r="P23" s="7">
        <v>43729</v>
      </c>
      <c r="Q23" s="12">
        <v>13.64798</v>
      </c>
      <c r="R23" s="12">
        <v>1.4039600000000001</v>
      </c>
      <c r="S23" s="12">
        <v>12.244020000000001</v>
      </c>
      <c r="T23" s="8">
        <v>199</v>
      </c>
      <c r="U23" s="7">
        <v>43732</v>
      </c>
      <c r="V23" s="8">
        <v>123456789</v>
      </c>
      <c r="W23" s="11" t="s">
        <v>114</v>
      </c>
      <c r="X23" s="8" t="s">
        <v>30</v>
      </c>
      <c r="Y23" s="11" t="s">
        <v>31</v>
      </c>
      <c r="Z23" s="8" t="s">
        <v>48</v>
      </c>
      <c r="AA23" s="11" t="s">
        <v>49</v>
      </c>
      <c r="AB23" s="12">
        <f t="shared" si="1"/>
        <v>0.13647980000000001</v>
      </c>
    </row>
    <row r="24" spans="1:28" s="4" customFormat="1" ht="13" x14ac:dyDescent="0.3">
      <c r="A24" s="5">
        <v>2041</v>
      </c>
      <c r="B24" s="6" t="s">
        <v>115</v>
      </c>
      <c r="C24" s="7">
        <v>43749</v>
      </c>
      <c r="D24" s="5">
        <v>58</v>
      </c>
      <c r="E24" s="9" t="s">
        <v>50</v>
      </c>
      <c r="F24" s="8" t="s">
        <v>116</v>
      </c>
      <c r="G24" s="9" t="s">
        <v>117</v>
      </c>
      <c r="H24" s="8" t="str">
        <f>"000002"</f>
        <v>000002</v>
      </c>
      <c r="I24" s="7">
        <v>42991</v>
      </c>
      <c r="J24" s="8" t="str">
        <f>"000030"</f>
        <v>000030</v>
      </c>
      <c r="K24" s="7">
        <v>43190</v>
      </c>
      <c r="L24" s="8" t="str">
        <f>"000008"</f>
        <v>000008</v>
      </c>
      <c r="M24" s="7">
        <v>43220</v>
      </c>
      <c r="N24" s="8">
        <v>16</v>
      </c>
      <c r="O24" s="8" t="str">
        <f>"005488"</f>
        <v>005488</v>
      </c>
      <c r="P24" s="7">
        <v>43739</v>
      </c>
      <c r="Q24" s="10">
        <v>17.908300000000001</v>
      </c>
      <c r="R24" s="10">
        <v>1.8418000000000001</v>
      </c>
      <c r="S24" s="10">
        <v>16.066500000000001</v>
      </c>
      <c r="T24" s="8">
        <v>13</v>
      </c>
      <c r="U24" s="7">
        <v>43749</v>
      </c>
      <c r="V24" s="8">
        <v>8022975815</v>
      </c>
      <c r="W24" s="9" t="s">
        <v>118</v>
      </c>
      <c r="X24" s="8" t="s">
        <v>119</v>
      </c>
      <c r="Y24" s="9" t="s">
        <v>120</v>
      </c>
      <c r="Z24" s="8" t="s">
        <v>121</v>
      </c>
      <c r="AA24" s="9" t="s">
        <v>122</v>
      </c>
      <c r="AB24" s="10">
        <v>0.17908299999999999</v>
      </c>
    </row>
    <row r="25" spans="1:28" s="4" customFormat="1" ht="13" x14ac:dyDescent="0.3">
      <c r="A25" s="5">
        <v>2042</v>
      </c>
      <c r="B25" s="6" t="s">
        <v>115</v>
      </c>
      <c r="C25" s="7">
        <v>43768</v>
      </c>
      <c r="D25" s="5">
        <v>58</v>
      </c>
      <c r="E25" s="9" t="s">
        <v>50</v>
      </c>
      <c r="F25" s="8" t="s">
        <v>123</v>
      </c>
      <c r="G25" s="9" t="s">
        <v>124</v>
      </c>
      <c r="H25" s="8" t="str">
        <f>"000067"</f>
        <v>000067</v>
      </c>
      <c r="I25" s="7">
        <v>43682</v>
      </c>
      <c r="J25" s="8" t="str">
        <f>"000065"</f>
        <v>000065</v>
      </c>
      <c r="K25" s="7">
        <v>43726</v>
      </c>
      <c r="L25" s="8" t="str">
        <f>"000107"</f>
        <v>000107</v>
      </c>
      <c r="M25" s="7">
        <v>43726</v>
      </c>
      <c r="N25" s="8">
        <v>17</v>
      </c>
      <c r="O25" s="8" t="str">
        <f>"005965"</f>
        <v>005965</v>
      </c>
      <c r="P25" s="7">
        <v>43763</v>
      </c>
      <c r="Q25" s="10">
        <v>7.9851700000000001</v>
      </c>
      <c r="R25" s="10">
        <v>0.30173</v>
      </c>
      <c r="S25" s="10">
        <v>7.68344</v>
      </c>
      <c r="T25" s="8">
        <v>13</v>
      </c>
      <c r="U25" s="7">
        <v>43768</v>
      </c>
      <c r="V25" s="8">
        <v>7899155394</v>
      </c>
      <c r="W25" s="9" t="s">
        <v>125</v>
      </c>
      <c r="X25" s="8" t="s">
        <v>108</v>
      </c>
      <c r="Y25" s="9" t="s">
        <v>109</v>
      </c>
      <c r="Z25" s="8" t="s">
        <v>48</v>
      </c>
      <c r="AA25" s="9" t="s">
        <v>49</v>
      </c>
      <c r="AB25" s="10">
        <v>7.9851699999999998E-2</v>
      </c>
    </row>
    <row r="26" spans="1:28" s="4" customFormat="1" ht="13" x14ac:dyDescent="0.3">
      <c r="A26" s="5">
        <v>2043</v>
      </c>
      <c r="B26" s="6" t="s">
        <v>126</v>
      </c>
      <c r="C26" s="7">
        <v>43801</v>
      </c>
      <c r="D26" s="5">
        <v>58</v>
      </c>
      <c r="E26" s="9" t="s">
        <v>50</v>
      </c>
      <c r="F26" s="8" t="s">
        <v>127</v>
      </c>
      <c r="G26" s="9" t="s">
        <v>128</v>
      </c>
      <c r="H26" s="8" t="str">
        <f>"000029"</f>
        <v>000029</v>
      </c>
      <c r="I26" s="7">
        <v>43299</v>
      </c>
      <c r="J26" s="8" t="str">
        <f>"000066"</f>
        <v>000066</v>
      </c>
      <c r="K26" s="7">
        <v>43726</v>
      </c>
      <c r="L26" s="8" t="str">
        <f>"000108"</f>
        <v>000108</v>
      </c>
      <c r="M26" s="7">
        <v>43726</v>
      </c>
      <c r="N26" s="8">
        <v>17</v>
      </c>
      <c r="O26" s="8" t="str">
        <f>"006441"</f>
        <v>006441</v>
      </c>
      <c r="P26" s="7">
        <v>43795</v>
      </c>
      <c r="Q26" s="10">
        <v>12.561030000000001</v>
      </c>
      <c r="R26" s="10">
        <v>1.10869</v>
      </c>
      <c r="S26" s="10">
        <v>11.45234</v>
      </c>
      <c r="T26" s="8">
        <v>13</v>
      </c>
      <c r="U26" s="7">
        <v>43801</v>
      </c>
      <c r="V26" s="8">
        <v>123456789</v>
      </c>
      <c r="W26" s="9" t="s">
        <v>35</v>
      </c>
      <c r="X26" s="8" t="s">
        <v>108</v>
      </c>
      <c r="Y26" s="9" t="s">
        <v>109</v>
      </c>
      <c r="Z26" s="8" t="s">
        <v>48</v>
      </c>
      <c r="AA26" s="9" t="s">
        <v>49</v>
      </c>
      <c r="AB26" s="10">
        <v>0.12561030000000001</v>
      </c>
    </row>
    <row r="27" spans="1:28" s="4" customFormat="1" ht="13" x14ac:dyDescent="0.3">
      <c r="A27" s="5">
        <v>2044</v>
      </c>
      <c r="B27" s="6" t="s">
        <v>126</v>
      </c>
      <c r="C27" s="7">
        <v>43801</v>
      </c>
      <c r="D27" s="5">
        <v>58</v>
      </c>
      <c r="E27" s="9" t="s">
        <v>50</v>
      </c>
      <c r="F27" s="8" t="s">
        <v>129</v>
      </c>
      <c r="G27" s="9" t="s">
        <v>130</v>
      </c>
      <c r="H27" s="8" t="str">
        <f>"000020"</f>
        <v>000020</v>
      </c>
      <c r="I27" s="7">
        <v>43612</v>
      </c>
      <c r="J27" s="8" t="str">
        <f>"000068"</f>
        <v>000068</v>
      </c>
      <c r="K27" s="7">
        <v>43729</v>
      </c>
      <c r="L27" s="8" t="str">
        <f>"000111"</f>
        <v>000111</v>
      </c>
      <c r="M27" s="7">
        <v>43729</v>
      </c>
      <c r="N27" s="8">
        <v>19</v>
      </c>
      <c r="O27" s="8" t="str">
        <f>"006463"</f>
        <v>006463</v>
      </c>
      <c r="P27" s="7">
        <v>43797</v>
      </c>
      <c r="Q27" s="10">
        <v>14.54866</v>
      </c>
      <c r="R27" s="10">
        <v>1.47282</v>
      </c>
      <c r="S27" s="10">
        <v>13.075839999999999</v>
      </c>
      <c r="T27" s="8">
        <v>13</v>
      </c>
      <c r="U27" s="7">
        <v>43801</v>
      </c>
      <c r="V27" s="8">
        <v>9448446520</v>
      </c>
      <c r="W27" s="9" t="s">
        <v>131</v>
      </c>
      <c r="X27" s="8" t="s">
        <v>33</v>
      </c>
      <c r="Y27" s="9" t="s">
        <v>34</v>
      </c>
      <c r="Z27" s="8" t="s">
        <v>48</v>
      </c>
      <c r="AA27" s="9" t="s">
        <v>49</v>
      </c>
      <c r="AB27" s="10">
        <v>0.14548659999999999</v>
      </c>
    </row>
    <row r="28" spans="1:28" s="4" customFormat="1" ht="13" x14ac:dyDescent="0.3">
      <c r="A28" s="5">
        <v>2045</v>
      </c>
      <c r="B28" s="6" t="s">
        <v>126</v>
      </c>
      <c r="C28" s="7">
        <v>43801</v>
      </c>
      <c r="D28" s="5">
        <v>58</v>
      </c>
      <c r="E28" s="9" t="s">
        <v>50</v>
      </c>
      <c r="F28" s="8" t="s">
        <v>132</v>
      </c>
      <c r="G28" s="9" t="s">
        <v>133</v>
      </c>
      <c r="H28" s="8" t="str">
        <f>"000019"</f>
        <v>000019</v>
      </c>
      <c r="I28" s="7">
        <v>43612</v>
      </c>
      <c r="J28" s="8" t="str">
        <f>"000082"</f>
        <v>000082</v>
      </c>
      <c r="K28" s="7">
        <v>43762</v>
      </c>
      <c r="L28" s="8" t="str">
        <f>"000138"</f>
        <v>000138</v>
      </c>
      <c r="M28" s="7">
        <v>43762</v>
      </c>
      <c r="N28" s="8">
        <v>19</v>
      </c>
      <c r="O28" s="8" t="str">
        <f>"006464"</f>
        <v>006464</v>
      </c>
      <c r="P28" s="7">
        <v>43797</v>
      </c>
      <c r="Q28" s="10">
        <v>3.45167</v>
      </c>
      <c r="R28" s="10">
        <v>0.15859999999999999</v>
      </c>
      <c r="S28" s="10">
        <v>3.2930700000000002</v>
      </c>
      <c r="T28" s="8">
        <v>13</v>
      </c>
      <c r="U28" s="7">
        <v>43801</v>
      </c>
      <c r="V28" s="8">
        <v>123456789</v>
      </c>
      <c r="W28" s="9" t="s">
        <v>134</v>
      </c>
      <c r="X28" s="8" t="s">
        <v>135</v>
      </c>
      <c r="Y28" s="9" t="s">
        <v>136</v>
      </c>
      <c r="Z28" s="8" t="s">
        <v>48</v>
      </c>
      <c r="AA28" s="9" t="s">
        <v>49</v>
      </c>
      <c r="AB28" s="10">
        <v>3.4516699999999997E-2</v>
      </c>
    </row>
    <row r="29" spans="1:28" s="4" customFormat="1" ht="13" x14ac:dyDescent="0.3">
      <c r="A29" s="5">
        <v>2046</v>
      </c>
      <c r="B29" s="6" t="s">
        <v>126</v>
      </c>
      <c r="C29" s="7">
        <v>43816</v>
      </c>
      <c r="D29" s="5">
        <v>58</v>
      </c>
      <c r="E29" s="9" t="s">
        <v>50</v>
      </c>
      <c r="F29" s="8" t="s">
        <v>137</v>
      </c>
      <c r="G29" s="9" t="s">
        <v>138</v>
      </c>
      <c r="H29" s="8" t="str">
        <f>"000030"</f>
        <v>000030</v>
      </c>
      <c r="I29" s="7">
        <v>43644</v>
      </c>
      <c r="J29" s="8" t="str">
        <f>"000109"</f>
        <v>000109</v>
      </c>
      <c r="K29" s="7">
        <v>43784</v>
      </c>
      <c r="L29" s="8" t="str">
        <f>"000174"</f>
        <v>000174</v>
      </c>
      <c r="M29" s="7">
        <v>43784</v>
      </c>
      <c r="N29" s="8">
        <v>19</v>
      </c>
      <c r="O29" s="8" t="str">
        <f>"006738"</f>
        <v>006738</v>
      </c>
      <c r="P29" s="7">
        <v>43810</v>
      </c>
      <c r="Q29" s="10">
        <v>16.140429999999999</v>
      </c>
      <c r="R29" s="10">
        <v>0.60987000000000002</v>
      </c>
      <c r="S29" s="10">
        <v>15.530559999999999</v>
      </c>
      <c r="T29" s="8">
        <v>13</v>
      </c>
      <c r="U29" s="7">
        <v>43816</v>
      </c>
      <c r="V29" s="8">
        <v>9343143366</v>
      </c>
      <c r="W29" s="9" t="s">
        <v>139</v>
      </c>
      <c r="X29" s="8" t="s">
        <v>104</v>
      </c>
      <c r="Y29" s="9" t="s">
        <v>105</v>
      </c>
      <c r="Z29" s="8" t="s">
        <v>48</v>
      </c>
      <c r="AA29" s="9" t="s">
        <v>49</v>
      </c>
      <c r="AB29" s="10">
        <v>0.16140429999999997</v>
      </c>
    </row>
    <row r="30" spans="1:28" s="4" customFormat="1" ht="13" x14ac:dyDescent="0.3">
      <c r="A30" s="5">
        <v>2047</v>
      </c>
      <c r="B30" s="6" t="s">
        <v>126</v>
      </c>
      <c r="C30" s="7">
        <v>43816</v>
      </c>
      <c r="D30" s="5">
        <v>58</v>
      </c>
      <c r="E30" s="9" t="s">
        <v>50</v>
      </c>
      <c r="F30" s="8" t="s">
        <v>140</v>
      </c>
      <c r="G30" s="9" t="s">
        <v>141</v>
      </c>
      <c r="H30" s="8" t="str">
        <f>"000025"</f>
        <v>000025</v>
      </c>
      <c r="I30" s="7">
        <v>43643</v>
      </c>
      <c r="J30" s="8" t="str">
        <f>"000110"</f>
        <v>000110</v>
      </c>
      <c r="K30" s="7">
        <v>43784</v>
      </c>
      <c r="L30" s="8" t="str">
        <f>"000173"</f>
        <v>000173</v>
      </c>
      <c r="M30" s="7">
        <v>43784</v>
      </c>
      <c r="N30" s="8">
        <v>19</v>
      </c>
      <c r="O30" s="8" t="str">
        <f>"006743"</f>
        <v>006743</v>
      </c>
      <c r="P30" s="7">
        <v>43810</v>
      </c>
      <c r="Q30" s="10">
        <v>16.154399999999999</v>
      </c>
      <c r="R30" s="10">
        <v>0.61041000000000001</v>
      </c>
      <c r="S30" s="10">
        <v>15.543990000000001</v>
      </c>
      <c r="T30" s="8">
        <v>13</v>
      </c>
      <c r="U30" s="7">
        <v>43816</v>
      </c>
      <c r="V30" s="8">
        <v>9343143366</v>
      </c>
      <c r="W30" s="9" t="s">
        <v>139</v>
      </c>
      <c r="X30" s="8" t="s">
        <v>104</v>
      </c>
      <c r="Y30" s="9" t="s">
        <v>105</v>
      </c>
      <c r="Z30" s="8" t="s">
        <v>48</v>
      </c>
      <c r="AA30" s="9" t="s">
        <v>49</v>
      </c>
      <c r="AB30" s="10">
        <v>0.16154399999999999</v>
      </c>
    </row>
    <row r="31" spans="1:28" s="4" customFormat="1" ht="13" x14ac:dyDescent="0.3">
      <c r="A31" s="5">
        <v>2048</v>
      </c>
      <c r="B31" s="6" t="s">
        <v>126</v>
      </c>
      <c r="C31" s="7">
        <v>43816</v>
      </c>
      <c r="D31" s="5">
        <v>58</v>
      </c>
      <c r="E31" s="9" t="s">
        <v>50</v>
      </c>
      <c r="F31" s="8" t="s">
        <v>142</v>
      </c>
      <c r="G31" s="9" t="s">
        <v>143</v>
      </c>
      <c r="H31" s="8" t="str">
        <f>"000033"</f>
        <v>000033</v>
      </c>
      <c r="I31" s="7">
        <v>43644</v>
      </c>
      <c r="J31" s="8" t="str">
        <f>"000111"</f>
        <v>000111</v>
      </c>
      <c r="K31" s="7">
        <v>43784</v>
      </c>
      <c r="L31" s="8" t="str">
        <f>"000175"</f>
        <v>000175</v>
      </c>
      <c r="M31" s="7">
        <v>43784</v>
      </c>
      <c r="N31" s="8">
        <v>19</v>
      </c>
      <c r="O31" s="8" t="str">
        <f>"006744"</f>
        <v>006744</v>
      </c>
      <c r="P31" s="7">
        <v>43810</v>
      </c>
      <c r="Q31" s="10">
        <v>4.0255000000000001</v>
      </c>
      <c r="R31" s="10">
        <v>0.15211</v>
      </c>
      <c r="S31" s="10">
        <v>3.8733900000000001</v>
      </c>
      <c r="T31" s="8">
        <v>13</v>
      </c>
      <c r="U31" s="7">
        <v>43816</v>
      </c>
      <c r="V31" s="8">
        <v>9972614979</v>
      </c>
      <c r="W31" s="9" t="s">
        <v>144</v>
      </c>
      <c r="X31" s="8" t="s">
        <v>44</v>
      </c>
      <c r="Y31" s="9" t="s">
        <v>145</v>
      </c>
      <c r="Z31" s="8" t="s">
        <v>48</v>
      </c>
      <c r="AA31" s="9" t="s">
        <v>49</v>
      </c>
      <c r="AB31" s="10">
        <v>4.0254999999999999E-2</v>
      </c>
    </row>
    <row r="32" spans="1:28" s="4" customFormat="1" ht="13" x14ac:dyDescent="0.3">
      <c r="A32" s="5">
        <v>2049</v>
      </c>
      <c r="B32" s="6" t="s">
        <v>126</v>
      </c>
      <c r="C32" s="7">
        <v>43816</v>
      </c>
      <c r="D32" s="5">
        <v>58</v>
      </c>
      <c r="E32" s="9" t="s">
        <v>50</v>
      </c>
      <c r="F32" s="8" t="s">
        <v>146</v>
      </c>
      <c r="G32" s="9" t="s">
        <v>147</v>
      </c>
      <c r="H32" s="8" t="str">
        <f>"000031"</f>
        <v>000031</v>
      </c>
      <c r="I32" s="7">
        <v>43644</v>
      </c>
      <c r="J32" s="8" t="str">
        <f>"000108"</f>
        <v>000108</v>
      </c>
      <c r="K32" s="7">
        <v>43784</v>
      </c>
      <c r="L32" s="8" t="str">
        <f>"000172"</f>
        <v>000172</v>
      </c>
      <c r="M32" s="7">
        <v>43784</v>
      </c>
      <c r="N32" s="8">
        <v>19</v>
      </c>
      <c r="O32" s="8" t="str">
        <f>"006772"</f>
        <v>006772</v>
      </c>
      <c r="P32" s="7">
        <v>43811</v>
      </c>
      <c r="Q32" s="10">
        <v>10.13294</v>
      </c>
      <c r="R32" s="10">
        <v>0.66749999999999998</v>
      </c>
      <c r="S32" s="10">
        <v>9.4654399999999992</v>
      </c>
      <c r="T32" s="8">
        <v>13</v>
      </c>
      <c r="U32" s="7">
        <v>43816</v>
      </c>
      <c r="V32" s="8">
        <v>9343143366</v>
      </c>
      <c r="W32" s="9" t="s">
        <v>139</v>
      </c>
      <c r="X32" s="8" t="s">
        <v>33</v>
      </c>
      <c r="Y32" s="9" t="s">
        <v>34</v>
      </c>
      <c r="Z32" s="8" t="s">
        <v>48</v>
      </c>
      <c r="AA32" s="9" t="s">
        <v>49</v>
      </c>
      <c r="AB32" s="10">
        <v>0.1013294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2020-01-28T11:51:39Z</dcterms:modified>
</cp:coreProperties>
</file>