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L34" i="1"/>
  <c r="J34" i="1"/>
  <c r="H34" i="1"/>
  <c r="O33" i="1"/>
  <c r="L33" i="1"/>
  <c r="J33" i="1"/>
  <c r="H33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<sst xmlns="http://schemas.openxmlformats.org/spreadsheetml/2006/main" count="325" uniqueCount="145">
  <si>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</si>
  <si>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</si>
  <si>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</si>
  <si>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</si>
  <si>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</si>
  <si>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</si>
  <si>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</si>
  <si>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</si>
  <si>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</si>
  <si>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</si>
  <si>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</si>
  <si>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</si>
  <si>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</si>
  <si>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</si>
  <si>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</si>
  <si>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</si>
  <si>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</si>
  <si>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</si>
  <si>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</si>
  <si>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</si>
  <si>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</si>
  <si>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</si>
  <si>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</si>
  <si>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</si>
  <si>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</si>
  <si>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</si>
  <si>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</si>
  <si>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</si>
  <si>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</si>
  <si>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</si>
  <si>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</si>
  <si>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</si>
  <si>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</si>
  <si>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</si>
  <si>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</si>
  <si>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M/s.KRIDL</t>
  </si>
  <si>
    <t>P3111</t>
  </si>
  <si>
    <t>State Finance Commission Untied Grant Works</t>
  </si>
  <si>
    <t>P1878</t>
  </si>
  <si>
    <t>18per - Works (Bhagyajyothi, Sooru / Neeru Yojane and General) (54 Lakhs / New Wards)</t>
  </si>
  <si>
    <t>P3158</t>
  </si>
  <si>
    <t>SIP Infrastructure Project works</t>
  </si>
  <si>
    <t>P3075</t>
  </si>
  <si>
    <t>Special comprehensive development works in Bangalore city (Bangalore city in charge Minister Discretionary Grants)</t>
  </si>
  <si>
    <t>ddo089</t>
  </si>
  <si>
    <t xml:space="preserve"> Assistant Executive Engineer Electrical East Zone</t>
  </si>
  <si>
    <t>ddo313</t>
  </si>
  <si>
    <t xml:space="preserve"> Chief Engineer SWD Central Zone</t>
  </si>
  <si>
    <t>P3297</t>
  </si>
  <si>
    <t>14th Finance Commission Grants - SWD Works</t>
  </si>
  <si>
    <t>ddo081</t>
  </si>
  <si>
    <t xml:space="preserve"> Assistant Executive Engineer Maruthysena Nagar East Zone</t>
  </si>
  <si>
    <t xml:space="preserve">M/s KRIDL, The Technical Manager-01, </t>
  </si>
  <si>
    <t>Maruthi Seva Nagara</t>
  </si>
  <si>
    <t>059-18-000008</t>
  </si>
  <si>
    <t>Providing CC Road to K.R Garden 2nd Cross and 2nd Stage and surrounding area in Ward No.59, Maruthi Seva nagara</t>
  </si>
  <si>
    <t xml:space="preserve">M/s KRIDL, The  Technical Managre-01, </t>
  </si>
  <si>
    <t>059-17-000029</t>
  </si>
  <si>
    <t>Improvements to Roads and Drains in Jeevanahalli Kodanda Rama Swamy Temple Surrounding Area in ward no.59, Maruthiseva Nagara</t>
  </si>
  <si>
    <t xml:space="preserve">Technical Manager KRIDL </t>
  </si>
  <si>
    <t>059-17-000031</t>
  </si>
  <si>
    <t>Improvements to Drains and Culverts along old Byappanahalli Main Road From Mukunda Theater upto SWD in ward no.59, Maruthiseva Nagara</t>
  </si>
  <si>
    <t>059-17-000022</t>
  </si>
  <si>
    <t>Improvements to cross Roads and Drains under lazer road Surrounding BSNL Office in ward no.59, Maruthiseva Nagara</t>
  </si>
  <si>
    <t xml:space="preserve">Technical Manger KRIDL </t>
  </si>
  <si>
    <t>059-17-000025</t>
  </si>
  <si>
    <t>Improvements to Drians and Roads of jai Bharath Nagara upto Railway Track in ward no.59, Maruthiseva Nagara</t>
  </si>
  <si>
    <t xml:space="preserve">Technical Manager KRIDL   </t>
  </si>
  <si>
    <t>059-17-000028</t>
  </si>
  <si>
    <t>Improvements to Roads and Drains in Jeevanahalli Adjecent to ITC Colony in ward no.59, Maruthiseva Nagara</t>
  </si>
  <si>
    <t>059-19-000003</t>
  </si>
  <si>
    <t>PROVIDING TIMER SWITCHES AND ENERGY EFFICIENT LED STREET LIGHT TO AK COLONY JEEVANAHALLI NAGANAPALYA AND SATHYA NAGAR AND SURROUNDING AREA IN WARD NO 59</t>
  </si>
  <si>
    <t>059-16-000001</t>
  </si>
  <si>
    <t>Operation and Maintenance of street lights at Maruthisevanagara area ward no 59 Package E23 for one year.</t>
  </si>
  <si>
    <t>M/s S.I Enterpreises</t>
  </si>
  <si>
    <t>Operation and Maintenance of street lights at Maruthisevanagara  area ward no 59 Package E23 for one year.</t>
  </si>
  <si>
    <t>059-18-000321</t>
  </si>
  <si>
    <t xml:space="preserve">Comprehensive development works in ITC Colony and surrounding area in Maruthisevanagar in Ward No.59. </t>
  </si>
  <si>
    <t xml:space="preserve">M/s KRIDL, The Technical Managre-01, </t>
  </si>
  <si>
    <t>059-19-000002</t>
  </si>
  <si>
    <t>IMPROVEMENT TO DRAINS AT KR GARDEN AND KONDAPPA GARDEN AND SURROUNDING AREA IN WARD NO 59</t>
  </si>
  <si>
    <t>M/s KRIDL, The Technical MAnager-01,</t>
  </si>
  <si>
    <t>059-18-000114</t>
  </si>
  <si>
    <t>Desilting of secondary tertiary drain of SWD in ward no 59 Maruthi Seva Nagar</t>
  </si>
  <si>
    <t>Executive Engineer-1</t>
  </si>
  <si>
    <t>059-19-000001</t>
  </si>
  <si>
    <t>IMPROVEMENTS TO ROADS AND DRAINS IN NAGAIAHNA PALYA SURROUNDING AREA IN WARD NO 59</t>
  </si>
  <si>
    <t>059-17-000009</t>
  </si>
  <si>
    <t>Providing CC Road to Park Main Road in Jeevanahalli and Surrounding Areas in Ward No.59, Maruthi Seva nagara</t>
  </si>
  <si>
    <t>A.Sathish Gowda,</t>
  </si>
  <si>
    <t>059-17-000006</t>
  </si>
  <si>
    <t>Providing CC Road to Muddappa Garden and Surrounding Areas in Ward No.59, Maruthi Seva nagara</t>
  </si>
  <si>
    <t>Sathish Gowda,</t>
  </si>
  <si>
    <t>059-17-000004</t>
  </si>
  <si>
    <t>Improvements of Drains at Hira Chand Layout, and Surroundings areas in Ward No.59, Maruthi Seva nagara</t>
  </si>
  <si>
    <t>P.Aravind,</t>
  </si>
  <si>
    <t>059-17-000005</t>
  </si>
  <si>
    <t>Providing CC Road to Raghavappa Garden and Surrounding Areas in Ward No.59, Maruthi Seva nagara</t>
  </si>
  <si>
    <t>059-17-000011</t>
  </si>
  <si>
    <t>Providing CC Road to krishnappa lane and K R garden and surrounding areas in Ward No.59, Maruthi Seva nagara</t>
  </si>
  <si>
    <t>G.C.S.Constuctions, (Prop G.Chandra)</t>
  </si>
  <si>
    <t>059-16-000030</t>
  </si>
  <si>
    <t>DESILTING OF NAGAIAHNA PALYA 6TH CROSS AND SURROUNDINGS AREAS IN WARD NO 59 MARUTHISEVANAGAR</t>
  </si>
  <si>
    <t>P.Vishwanath,</t>
  </si>
  <si>
    <t>059-16-000029</t>
  </si>
  <si>
    <t>DESILTING OF NAGAIAHNA PALYA 3RD CROSS AND SURROUNDING AREAS IN WARD NO 59 MARUTHISEVANAGAR</t>
  </si>
  <si>
    <t>P.Vishwanath</t>
  </si>
  <si>
    <t>July</t>
  </si>
  <si>
    <t>059-17-000040</t>
  </si>
  <si>
    <t>Desilting of Drains at D Costa layout and surrounding area in ward no 59, Maruthi Seva Nagara</t>
  </si>
  <si>
    <t>The Technical Manager-01,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</si>
  <si>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</si>
  <si>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</si>
  <si>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059-18-000017</t>
  </si>
  <si>
    <t>Improvements to Road and Drains at Kondaswamy Garden (Full Area) in Ward No.59, Maruthi Seva nagara.</t>
  </si>
  <si>
    <t>August</t>
  </si>
  <si>
    <t>059-17-000012</t>
  </si>
  <si>
    <t>Providing Name Boards in Ward no-59, Maruthisevanagara.</t>
  </si>
  <si>
    <t>C.Suresh,</t>
  </si>
  <si>
    <t>September</t>
  </si>
  <si>
    <t>059-18-000024</t>
  </si>
  <si>
    <t>Construction and Repairs works to Community Property Maintenance in ward no 59</t>
  </si>
  <si>
    <t>P3292</t>
  </si>
  <si>
    <t>14th Finance Commission Works - Community Property Maintenance (including Parks)</t>
  </si>
  <si>
    <t>059-18-000026</t>
  </si>
  <si>
    <t>Improvements to roads drains and footpath maintenance works in ward no 59</t>
  </si>
  <si>
    <t>P3296</t>
  </si>
  <si>
    <t>14th Finance Commission Works - Road and Footpath Maintenance</t>
  </si>
  <si>
    <t>059-18-000025</t>
  </si>
  <si>
    <t>Construction and maintenance works to General public toilets in ward no 59</t>
  </si>
  <si>
    <t>M/s KRIDL, The Technical Manager-01,</t>
  </si>
  <si>
    <t>P3294</t>
  </si>
  <si>
    <t>14th Finance Commission Works - General Public ToiletandSeptage Maintenance</t>
  </si>
  <si>
    <t>059-18-000023</t>
  </si>
  <si>
    <t>Construction and Repairs works to BBMP office Maintenance in ward no 59</t>
  </si>
  <si>
    <t>P3291</t>
  </si>
  <si>
    <t>14th Fin -Maintenance of Cremotorium, Burial Grounds</t>
  </si>
  <si>
    <t>November</t>
  </si>
  <si>
    <t>December</t>
  </si>
  <si>
    <t>059-19-000028</t>
  </si>
  <si>
    <t>Improvements to roads and drains at Thyagaraj Layout and surrounding area in ward 59, Maruthisevanagara</t>
  </si>
  <si>
    <t>G.C.S.Construction, G.Chandra,</t>
  </si>
  <si>
    <t>059-19-000030</t>
  </si>
  <si>
    <t>Improvements to roads and drains in hutchins road and surrounding area in ward 59</t>
  </si>
  <si>
    <t>G.C.S.Constuctions, G.Chandra,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</si>
</sst>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workbookViewId="0">
      <selection activeCell="E7" sqref="E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2050</v>
      </c>
      <c r="B2" s="6" t="s">
        <v>28</v>
      </c>
      <c r="C2" s="7">
        <v>43559</v>
      </c>
      <c r="D2" s="8">
        <v>59</v>
      </c>
      <c r="E2" s="9" t="s">
        <v>53</v>
      </c>
      <c r="F2" s="8" t="s">
        <v>54</v>
      </c>
      <c r="G2" s="9" t="s">
        <v>55</v>
      </c>
      <c r="H2" s="8" t="str">
        <f>"000439"</f>
        <v>000439</v>
      </c>
      <c r="I2" s="7">
        <v>43535</v>
      </c>
      <c r="J2" s="8" t="str">
        <f>"000195"</f>
        <v>000195</v>
      </c>
      <c r="K2" s="7">
        <v>43535</v>
      </c>
      <c r="L2" s="8" t="str">
        <f>"000356"</f>
        <v>000356</v>
      </c>
      <c r="M2" s="7">
        <v>43535</v>
      </c>
      <c r="N2" s="8">
        <v>18</v>
      </c>
      <c r="O2" s="8" t="str">
        <f>"000007"</f>
        <v>000007</v>
      </c>
      <c r="P2" s="7">
        <v>43558</v>
      </c>
      <c r="Q2" s="10">
        <v>19.829429999999999</v>
      </c>
      <c r="R2" s="10">
        <v>2.33399</v>
      </c>
      <c r="S2" s="10">
        <v>17.495439999999999</v>
      </c>
      <c r="T2" s="8">
        <v>1</v>
      </c>
      <c r="U2" s="7">
        <v>43559</v>
      </c>
      <c r="V2" s="8">
        <v>123456789</v>
      </c>
      <c r="W2" s="9" t="s">
        <v>56</v>
      </c>
      <c r="X2" s="8" t="s">
        <v>36</v>
      </c>
      <c r="Y2" s="9" t="s">
        <v>37</v>
      </c>
      <c r="Z2" s="8" t="s">
        <v>50</v>
      </c>
      <c r="AA2" s="9" t="s">
        <v>51</v>
      </c>
      <c r="AB2" s="10">
        <f t="shared" ref="AB2:AB22" si="0">Q2/100</f>
        <v>0.19829429999999998</v>
      </c>
    </row>
    <row r="3" spans="1:28" s="4" customFormat="1" ht="13" x14ac:dyDescent="0.3">
      <c r="A3" s="5">
        <v>2051</v>
      </c>
      <c r="B3" s="6" t="s">
        <v>28</v>
      </c>
      <c r="C3" s="7">
        <v>43565</v>
      </c>
      <c r="D3" s="8">
        <v>59</v>
      </c>
      <c r="E3" s="9" t="s">
        <v>53</v>
      </c>
      <c r="F3" s="8" t="s">
        <v>57</v>
      </c>
      <c r="G3" s="9" t="s">
        <v>58</v>
      </c>
      <c r="H3" s="8" t="str">
        <f>"000217"</f>
        <v>000217</v>
      </c>
      <c r="I3" s="7">
        <v>43118</v>
      </c>
      <c r="J3" s="8" t="str">
        <f>"000062"</f>
        <v>000062</v>
      </c>
      <c r="K3" s="7">
        <v>43312</v>
      </c>
      <c r="L3" s="8" t="str">
        <f>"000142"</f>
        <v>000142</v>
      </c>
      <c r="M3" s="7">
        <v>43312</v>
      </c>
      <c r="N3" s="8">
        <v>17</v>
      </c>
      <c r="O3" s="8" t="str">
        <f>"000250"</f>
        <v>000250</v>
      </c>
      <c r="P3" s="7">
        <v>43564</v>
      </c>
      <c r="Q3" s="10">
        <v>19.76371</v>
      </c>
      <c r="R3" s="10">
        <v>2.2782499999999999</v>
      </c>
      <c r="S3" s="10">
        <v>17.48546</v>
      </c>
      <c r="T3" s="8">
        <v>8</v>
      </c>
      <c r="U3" s="7">
        <v>43565</v>
      </c>
      <c r="V3" s="8">
        <v>123456789</v>
      </c>
      <c r="W3" s="9" t="s">
        <v>59</v>
      </c>
      <c r="X3" s="8" t="s">
        <v>42</v>
      </c>
      <c r="Y3" s="9" t="s">
        <v>43</v>
      </c>
      <c r="Z3" s="8" t="s">
        <v>50</v>
      </c>
      <c r="AA3" s="9" t="s">
        <v>51</v>
      </c>
      <c r="AB3" s="10">
        <f t="shared" si="0"/>
        <v>0.19763710000000001</v>
      </c>
    </row>
    <row r="4" spans="1:28" s="4" customFormat="1" ht="13" x14ac:dyDescent="0.3">
      <c r="A4" s="5">
        <v>2052</v>
      </c>
      <c r="B4" s="6" t="s">
        <v>28</v>
      </c>
      <c r="C4" s="7">
        <v>43565</v>
      </c>
      <c r="D4" s="8">
        <v>59</v>
      </c>
      <c r="E4" s="9" t="s">
        <v>53</v>
      </c>
      <c r="F4" s="8" t="s">
        <v>60</v>
      </c>
      <c r="G4" s="9" t="s">
        <v>61</v>
      </c>
      <c r="H4" s="8" t="str">
        <f>"000218"</f>
        <v>000218</v>
      </c>
      <c r="I4" s="7">
        <v>43118</v>
      </c>
      <c r="J4" s="8" t="str">
        <f>"000061"</f>
        <v>000061</v>
      </c>
      <c r="K4" s="7">
        <v>43312</v>
      </c>
      <c r="L4" s="8" t="str">
        <f>"000141"</f>
        <v>000141</v>
      </c>
      <c r="M4" s="7">
        <v>43312</v>
      </c>
      <c r="N4" s="8">
        <v>17</v>
      </c>
      <c r="O4" s="8" t="str">
        <f>"000251"</f>
        <v>000251</v>
      </c>
      <c r="P4" s="7">
        <v>43564</v>
      </c>
      <c r="Q4" s="10">
        <v>19.84693</v>
      </c>
      <c r="R4" s="10">
        <v>2.20025</v>
      </c>
      <c r="S4" s="10">
        <v>17.64668</v>
      </c>
      <c r="T4" s="8">
        <v>8</v>
      </c>
      <c r="U4" s="7">
        <v>43565</v>
      </c>
      <c r="V4" s="8">
        <v>123456789</v>
      </c>
      <c r="W4" s="9" t="s">
        <v>59</v>
      </c>
      <c r="X4" s="8" t="s">
        <v>42</v>
      </c>
      <c r="Y4" s="9" t="s">
        <v>43</v>
      </c>
      <c r="Z4" s="8" t="s">
        <v>50</v>
      </c>
      <c r="AA4" s="9" t="s">
        <v>51</v>
      </c>
      <c r="AB4" s="10">
        <f t="shared" si="0"/>
        <v>0.19846930000000002</v>
      </c>
    </row>
    <row r="5" spans="1:28" s="4" customFormat="1" ht="13" x14ac:dyDescent="0.3">
      <c r="A5" s="5">
        <v>2053</v>
      </c>
      <c r="B5" s="6" t="s">
        <v>28</v>
      </c>
      <c r="C5" s="7">
        <v>43565</v>
      </c>
      <c r="D5" s="8">
        <v>59</v>
      </c>
      <c r="E5" s="9" t="s">
        <v>53</v>
      </c>
      <c r="F5" s="8" t="s">
        <v>62</v>
      </c>
      <c r="G5" s="9" t="s">
        <v>63</v>
      </c>
      <c r="H5" s="8" t="str">
        <f>"000209"</f>
        <v>000209</v>
      </c>
      <c r="I5" s="7">
        <v>43118</v>
      </c>
      <c r="J5" s="8" t="str">
        <f>"000125"</f>
        <v>000125</v>
      </c>
      <c r="K5" s="7">
        <v>43404</v>
      </c>
      <c r="L5" s="8" t="str">
        <f>"000243"</f>
        <v>000243</v>
      </c>
      <c r="M5" s="7">
        <v>43404</v>
      </c>
      <c r="N5" s="8">
        <v>17</v>
      </c>
      <c r="O5" s="8" t="str">
        <f>"000252"</f>
        <v>000252</v>
      </c>
      <c r="P5" s="7">
        <v>43564</v>
      </c>
      <c r="Q5" s="10">
        <v>19.70682</v>
      </c>
      <c r="R5" s="10">
        <v>2.3253300000000001</v>
      </c>
      <c r="S5" s="10">
        <v>17.381489999999999</v>
      </c>
      <c r="T5" s="8">
        <v>8</v>
      </c>
      <c r="U5" s="7">
        <v>43565</v>
      </c>
      <c r="V5" s="8">
        <v>123456789</v>
      </c>
      <c r="W5" s="9" t="s">
        <v>64</v>
      </c>
      <c r="X5" s="8" t="s">
        <v>42</v>
      </c>
      <c r="Y5" s="9" t="s">
        <v>43</v>
      </c>
      <c r="Z5" s="8" t="s">
        <v>50</v>
      </c>
      <c r="AA5" s="9" t="s">
        <v>51</v>
      </c>
      <c r="AB5" s="10">
        <f t="shared" si="0"/>
        <v>0.1970682</v>
      </c>
    </row>
    <row r="6" spans="1:28" s="4" customFormat="1" ht="13" x14ac:dyDescent="0.3">
      <c r="A6" s="5">
        <v>2054</v>
      </c>
      <c r="B6" s="6" t="s">
        <v>28</v>
      </c>
      <c r="C6" s="7">
        <v>43565</v>
      </c>
      <c r="D6" s="8">
        <v>59</v>
      </c>
      <c r="E6" s="9" t="s">
        <v>53</v>
      </c>
      <c r="F6" s="8" t="s">
        <v>65</v>
      </c>
      <c r="G6" s="9" t="s">
        <v>66</v>
      </c>
      <c r="H6" s="8" t="str">
        <f>"000213"</f>
        <v>000213</v>
      </c>
      <c r="I6" s="7">
        <v>43118</v>
      </c>
      <c r="J6" s="8" t="str">
        <f>"000126"</f>
        <v>000126</v>
      </c>
      <c r="K6" s="7">
        <v>43404</v>
      </c>
      <c r="L6" s="8" t="str">
        <f>"000244"</f>
        <v>000244</v>
      </c>
      <c r="M6" s="7">
        <v>43404</v>
      </c>
      <c r="N6" s="8">
        <v>17</v>
      </c>
      <c r="O6" s="8" t="str">
        <f>"000253"</f>
        <v>000253</v>
      </c>
      <c r="P6" s="7">
        <v>43564</v>
      </c>
      <c r="Q6" s="10">
        <v>29.896049999999999</v>
      </c>
      <c r="R6" s="10">
        <v>3.4250400000000001</v>
      </c>
      <c r="S6" s="10">
        <v>26.47101</v>
      </c>
      <c r="T6" s="8">
        <v>8</v>
      </c>
      <c r="U6" s="7">
        <v>43565</v>
      </c>
      <c r="V6" s="8">
        <v>123456789</v>
      </c>
      <c r="W6" s="9" t="s">
        <v>67</v>
      </c>
      <c r="X6" s="8" t="s">
        <v>42</v>
      </c>
      <c r="Y6" s="9" t="s">
        <v>43</v>
      </c>
      <c r="Z6" s="8" t="s">
        <v>50</v>
      </c>
      <c r="AA6" s="9" t="s">
        <v>51</v>
      </c>
      <c r="AB6" s="10">
        <f t="shared" si="0"/>
        <v>0.29896049999999996</v>
      </c>
    </row>
    <row r="7" spans="1:28" s="4" customFormat="1" ht="13" x14ac:dyDescent="0.3">
      <c r="A7" s="5">
        <v>2055</v>
      </c>
      <c r="B7" s="6" t="s">
        <v>28</v>
      </c>
      <c r="C7" s="7">
        <v>43565</v>
      </c>
      <c r="D7" s="8">
        <v>59</v>
      </c>
      <c r="E7" s="9" t="s">
        <v>53</v>
      </c>
      <c r="F7" s="8" t="s">
        <v>68</v>
      </c>
      <c r="G7" s="9" t="s">
        <v>69</v>
      </c>
      <c r="H7" s="8" t="str">
        <f>"000214"</f>
        <v>000214</v>
      </c>
      <c r="I7" s="7">
        <v>43118</v>
      </c>
      <c r="J7" s="8" t="str">
        <f>"000124"</f>
        <v>000124</v>
      </c>
      <c r="K7" s="7">
        <v>43404</v>
      </c>
      <c r="L7" s="8" t="str">
        <f>"000242"</f>
        <v>000242</v>
      </c>
      <c r="M7" s="7">
        <v>43404</v>
      </c>
      <c r="N7" s="8">
        <v>17</v>
      </c>
      <c r="O7" s="8" t="str">
        <f>"000259"</f>
        <v>000259</v>
      </c>
      <c r="P7" s="7">
        <v>43564</v>
      </c>
      <c r="Q7" s="10">
        <v>29.753440000000001</v>
      </c>
      <c r="R7" s="10">
        <v>3.4540500000000001</v>
      </c>
      <c r="S7" s="10">
        <v>26.299389999999999</v>
      </c>
      <c r="T7" s="8">
        <v>8</v>
      </c>
      <c r="U7" s="7">
        <v>43565</v>
      </c>
      <c r="V7" s="8">
        <v>123456789</v>
      </c>
      <c r="W7" s="9" t="s">
        <v>59</v>
      </c>
      <c r="X7" s="8" t="s">
        <v>42</v>
      </c>
      <c r="Y7" s="9" t="s">
        <v>43</v>
      </c>
      <c r="Z7" s="8" t="s">
        <v>50</v>
      </c>
      <c r="AA7" s="9" t="s">
        <v>51</v>
      </c>
      <c r="AB7" s="10">
        <f t="shared" si="0"/>
        <v>0.29753440000000003</v>
      </c>
    </row>
    <row r="8" spans="1:28" s="4" customFormat="1" ht="13" x14ac:dyDescent="0.3">
      <c r="A8" s="5">
        <v>2056</v>
      </c>
      <c r="B8" s="6" t="s">
        <v>28</v>
      </c>
      <c r="C8" s="7">
        <v>43566</v>
      </c>
      <c r="D8" s="8">
        <v>59</v>
      </c>
      <c r="E8" s="9" t="s">
        <v>53</v>
      </c>
      <c r="F8" s="8" t="s">
        <v>70</v>
      </c>
      <c r="G8" s="9" t="s">
        <v>71</v>
      </c>
      <c r="H8" s="8" t="str">
        <f>"000079"</f>
        <v>000079</v>
      </c>
      <c r="I8" s="7">
        <v>43389</v>
      </c>
      <c r="J8" s="8" t="str">
        <f>"000172"</f>
        <v>000172</v>
      </c>
      <c r="K8" s="7">
        <v>43413</v>
      </c>
      <c r="L8" s="8" t="str">
        <f>"000171"</f>
        <v>000171</v>
      </c>
      <c r="M8" s="7">
        <v>43413</v>
      </c>
      <c r="N8" s="8">
        <v>19</v>
      </c>
      <c r="O8" s="8" t="str">
        <f>"000268"</f>
        <v>000268</v>
      </c>
      <c r="P8" s="7">
        <v>43564</v>
      </c>
      <c r="Q8" s="10">
        <v>49.974130000000002</v>
      </c>
      <c r="R8" s="10">
        <v>6.1917999999999997</v>
      </c>
      <c r="S8" s="10">
        <v>43.782330000000002</v>
      </c>
      <c r="T8" s="8">
        <v>15</v>
      </c>
      <c r="U8" s="7">
        <v>43566</v>
      </c>
      <c r="V8" s="8">
        <v>9945525730</v>
      </c>
      <c r="W8" s="9" t="s">
        <v>35</v>
      </c>
      <c r="X8" s="8" t="s">
        <v>38</v>
      </c>
      <c r="Y8" s="9" t="s">
        <v>39</v>
      </c>
      <c r="Z8" s="8" t="s">
        <v>44</v>
      </c>
      <c r="AA8" s="9" t="s">
        <v>45</v>
      </c>
      <c r="AB8" s="10">
        <f t="shared" si="0"/>
        <v>0.4997413</v>
      </c>
    </row>
    <row r="9" spans="1:28" s="4" customFormat="1" ht="13" x14ac:dyDescent="0.3">
      <c r="A9" s="5">
        <v>2057</v>
      </c>
      <c r="B9" s="6" t="s">
        <v>28</v>
      </c>
      <c r="C9" s="7">
        <v>43567</v>
      </c>
      <c r="D9" s="8">
        <v>59</v>
      </c>
      <c r="E9" s="9" t="s">
        <v>53</v>
      </c>
      <c r="F9" s="8" t="s">
        <v>72</v>
      </c>
      <c r="G9" s="9" t="s">
        <v>73</v>
      </c>
      <c r="H9" s="8" t="str">
        <f>"000031"</f>
        <v>000031</v>
      </c>
      <c r="I9" s="7">
        <v>43054</v>
      </c>
      <c r="J9" s="8" t="str">
        <f>"000009"</f>
        <v>000009</v>
      </c>
      <c r="K9" s="7">
        <v>43595</v>
      </c>
      <c r="L9" s="8" t="str">
        <f>"000006"</f>
        <v>000006</v>
      </c>
      <c r="M9" s="7">
        <v>43595</v>
      </c>
      <c r="N9" s="8">
        <v>16</v>
      </c>
      <c r="O9" s="8" t="str">
        <f>""</f>
        <v/>
      </c>
      <c r="P9" s="7"/>
      <c r="Q9" s="10">
        <v>1.2843199999999999</v>
      </c>
      <c r="R9" s="10">
        <v>0.10728</v>
      </c>
      <c r="S9" s="10">
        <v>1.1770400000000001</v>
      </c>
      <c r="T9" s="8">
        <v>17</v>
      </c>
      <c r="U9" s="7">
        <v>43567</v>
      </c>
      <c r="V9" s="8">
        <v>9972630496</v>
      </c>
      <c r="W9" s="9" t="s">
        <v>74</v>
      </c>
      <c r="X9" s="8" t="s">
        <v>29</v>
      </c>
      <c r="Y9" s="9" t="s">
        <v>30</v>
      </c>
      <c r="Z9" s="8" t="s">
        <v>44</v>
      </c>
      <c r="AA9" s="9" t="s">
        <v>45</v>
      </c>
      <c r="AB9" s="10">
        <f t="shared" si="0"/>
        <v>1.2843199999999999E-2</v>
      </c>
    </row>
    <row r="10" spans="1:28" s="4" customFormat="1" ht="13" x14ac:dyDescent="0.3">
      <c r="A10" s="5">
        <v>2058</v>
      </c>
      <c r="B10" s="6" t="s">
        <v>28</v>
      </c>
      <c r="C10" s="7">
        <v>43567</v>
      </c>
      <c r="D10" s="8">
        <v>59</v>
      </c>
      <c r="E10" s="9" t="s">
        <v>53</v>
      </c>
      <c r="F10" s="8" t="s">
        <v>72</v>
      </c>
      <c r="G10" s="9" t="s">
        <v>73</v>
      </c>
      <c r="H10" s="8" t="str">
        <f>"000031"</f>
        <v>000031</v>
      </c>
      <c r="I10" s="7">
        <v>43054</v>
      </c>
      <c r="J10" s="8" t="str">
        <f>"000009"</f>
        <v>000009</v>
      </c>
      <c r="K10" s="7">
        <v>43595</v>
      </c>
      <c r="L10" s="8" t="str">
        <f>"000006"</f>
        <v>000006</v>
      </c>
      <c r="M10" s="7">
        <v>43595</v>
      </c>
      <c r="N10" s="8">
        <v>16</v>
      </c>
      <c r="O10" s="8" t="str">
        <f>""</f>
        <v/>
      </c>
      <c r="P10" s="7"/>
      <c r="Q10" s="10">
        <v>12.47959</v>
      </c>
      <c r="R10" s="10">
        <v>0.98629</v>
      </c>
      <c r="S10" s="10">
        <v>11.4933</v>
      </c>
      <c r="T10" s="8">
        <v>17</v>
      </c>
      <c r="U10" s="7">
        <v>43567</v>
      </c>
      <c r="V10" s="8">
        <v>9972630496</v>
      </c>
      <c r="W10" s="9" t="s">
        <v>74</v>
      </c>
      <c r="X10" s="8" t="s">
        <v>29</v>
      </c>
      <c r="Y10" s="9" t="s">
        <v>30</v>
      </c>
      <c r="Z10" s="8" t="s">
        <v>44</v>
      </c>
      <c r="AA10" s="9" t="s">
        <v>45</v>
      </c>
      <c r="AB10" s="10">
        <f t="shared" si="0"/>
        <v>0.1247959</v>
      </c>
    </row>
    <row r="11" spans="1:28" s="4" customFormat="1" ht="13" x14ac:dyDescent="0.3">
      <c r="A11" s="5">
        <v>2059</v>
      </c>
      <c r="B11" s="6" t="s">
        <v>28</v>
      </c>
      <c r="C11" s="7">
        <v>43580</v>
      </c>
      <c r="D11" s="8">
        <v>59</v>
      </c>
      <c r="E11" s="9" t="s">
        <v>53</v>
      </c>
      <c r="F11" s="8" t="s">
        <v>72</v>
      </c>
      <c r="G11" s="9" t="s">
        <v>73</v>
      </c>
      <c r="H11" s="8" t="str">
        <f>"000031"</f>
        <v>000031</v>
      </c>
      <c r="I11" s="7">
        <v>43054</v>
      </c>
      <c r="J11" s="8" t="str">
        <f>"000009"</f>
        <v>000009</v>
      </c>
      <c r="K11" s="7">
        <v>43595</v>
      </c>
      <c r="L11" s="8" t="str">
        <f>"000006"</f>
        <v>000006</v>
      </c>
      <c r="M11" s="7">
        <v>43595</v>
      </c>
      <c r="N11" s="8">
        <v>16</v>
      </c>
      <c r="O11" s="8" t="str">
        <f>""</f>
        <v/>
      </c>
      <c r="P11" s="7"/>
      <c r="Q11" s="10">
        <v>4.53803</v>
      </c>
      <c r="R11" s="10">
        <v>0.60599999999999998</v>
      </c>
      <c r="S11" s="10">
        <v>3.9320300000000001</v>
      </c>
      <c r="T11" s="8">
        <v>29</v>
      </c>
      <c r="U11" s="7">
        <v>43580</v>
      </c>
      <c r="V11" s="8">
        <v>9972630496</v>
      </c>
      <c r="W11" s="9" t="s">
        <v>74</v>
      </c>
      <c r="X11" s="8" t="s">
        <v>29</v>
      </c>
      <c r="Y11" s="9" t="s">
        <v>30</v>
      </c>
      <c r="Z11" s="8" t="s">
        <v>44</v>
      </c>
      <c r="AA11" s="9" t="s">
        <v>45</v>
      </c>
      <c r="AB11" s="10">
        <f t="shared" si="0"/>
        <v>4.5380299999999998E-2</v>
      </c>
    </row>
    <row r="12" spans="1:28" s="4" customFormat="1" ht="13" x14ac:dyDescent="0.3">
      <c r="A12" s="5">
        <v>2060</v>
      </c>
      <c r="B12" s="6" t="s">
        <v>34</v>
      </c>
      <c r="C12" s="7">
        <v>43588</v>
      </c>
      <c r="D12" s="8">
        <v>59</v>
      </c>
      <c r="E12" s="9" t="s">
        <v>53</v>
      </c>
      <c r="F12" s="8" t="s">
        <v>76</v>
      </c>
      <c r="G12" s="9" t="s">
        <v>77</v>
      </c>
      <c r="H12" s="8" t="str">
        <f>"000275"</f>
        <v>000275</v>
      </c>
      <c r="I12" s="7">
        <v>43443</v>
      </c>
      <c r="J12" s="8" t="str">
        <f>"000196"</f>
        <v>000196</v>
      </c>
      <c r="K12" s="7">
        <v>43538</v>
      </c>
      <c r="L12" s="8" t="str">
        <f>"000358"</f>
        <v>000358</v>
      </c>
      <c r="M12" s="7">
        <v>43538</v>
      </c>
      <c r="N12" s="8">
        <v>18</v>
      </c>
      <c r="O12" s="8" t="str">
        <f>"001025"</f>
        <v>001025</v>
      </c>
      <c r="P12" s="7">
        <v>43580</v>
      </c>
      <c r="Q12" s="10">
        <v>49.811999999999998</v>
      </c>
      <c r="R12" s="10">
        <v>7.8202499999999997</v>
      </c>
      <c r="S12" s="10">
        <v>41.991750000000003</v>
      </c>
      <c r="T12" s="8">
        <v>33</v>
      </c>
      <c r="U12" s="7">
        <v>43588</v>
      </c>
      <c r="V12" s="8">
        <v>123456789</v>
      </c>
      <c r="W12" s="9" t="s">
        <v>78</v>
      </c>
      <c r="X12" s="8" t="s">
        <v>40</v>
      </c>
      <c r="Y12" s="9" t="s">
        <v>41</v>
      </c>
      <c r="Z12" s="8" t="s">
        <v>50</v>
      </c>
      <c r="AA12" s="9" t="s">
        <v>51</v>
      </c>
      <c r="AB12" s="10">
        <f t="shared" si="0"/>
        <v>0.49811999999999995</v>
      </c>
    </row>
    <row r="13" spans="1:28" s="4" customFormat="1" ht="13" x14ac:dyDescent="0.3">
      <c r="A13" s="5">
        <v>2061</v>
      </c>
      <c r="B13" s="6" t="s">
        <v>34</v>
      </c>
      <c r="C13" s="7">
        <v>43591</v>
      </c>
      <c r="D13" s="8">
        <v>59</v>
      </c>
      <c r="E13" s="9" t="s">
        <v>53</v>
      </c>
      <c r="F13" s="8" t="s">
        <v>79</v>
      </c>
      <c r="G13" s="9" t="s">
        <v>80</v>
      </c>
      <c r="H13" s="8" t="str">
        <f>"000174"</f>
        <v>000174</v>
      </c>
      <c r="I13" s="7">
        <v>43396</v>
      </c>
      <c r="J13" s="8" t="str">
        <f>"000150"</f>
        <v>000150</v>
      </c>
      <c r="K13" s="7">
        <v>43444</v>
      </c>
      <c r="L13" s="8" t="str">
        <f>"000276"</f>
        <v>000276</v>
      </c>
      <c r="M13" s="7">
        <v>43444</v>
      </c>
      <c r="N13" s="8">
        <v>19</v>
      </c>
      <c r="O13" s="8" t="str">
        <f>"001249"</f>
        <v>001249</v>
      </c>
      <c r="P13" s="7">
        <v>43587</v>
      </c>
      <c r="Q13" s="10">
        <v>49.948250000000002</v>
      </c>
      <c r="R13" s="10">
        <v>5.7047800000000004</v>
      </c>
      <c r="S13" s="10">
        <v>44.243470000000002</v>
      </c>
      <c r="T13" s="8">
        <v>39</v>
      </c>
      <c r="U13" s="7">
        <v>43591</v>
      </c>
      <c r="V13" s="8">
        <v>123456789</v>
      </c>
      <c r="W13" s="9" t="s">
        <v>81</v>
      </c>
      <c r="X13" s="8" t="s">
        <v>38</v>
      </c>
      <c r="Y13" s="9" t="s">
        <v>39</v>
      </c>
      <c r="Z13" s="8" t="s">
        <v>50</v>
      </c>
      <c r="AA13" s="9" t="s">
        <v>51</v>
      </c>
      <c r="AB13" s="10">
        <f t="shared" si="0"/>
        <v>0.4994825</v>
      </c>
    </row>
    <row r="14" spans="1:28" s="4" customFormat="1" ht="13" x14ac:dyDescent="0.3">
      <c r="A14" s="5">
        <v>2062</v>
      </c>
      <c r="B14" s="6" t="s">
        <v>34</v>
      </c>
      <c r="C14" s="7">
        <v>43600</v>
      </c>
      <c r="D14" s="8">
        <v>59</v>
      </c>
      <c r="E14" s="9" t="s">
        <v>53</v>
      </c>
      <c r="F14" s="8" t="s">
        <v>82</v>
      </c>
      <c r="G14" s="9" t="s">
        <v>83</v>
      </c>
      <c r="H14" s="8" t="str">
        <f>"000010"</f>
        <v>000010</v>
      </c>
      <c r="I14" s="7">
        <v>43418</v>
      </c>
      <c r="J14" s="8" t="str">
        <f>"000039"</f>
        <v>000039</v>
      </c>
      <c r="K14" s="7">
        <v>43537</v>
      </c>
      <c r="L14" s="8" t="str">
        <f>"000301"</f>
        <v>000301</v>
      </c>
      <c r="M14" s="7">
        <v>43538</v>
      </c>
      <c r="N14" s="8">
        <v>18</v>
      </c>
      <c r="O14" s="8" t="str">
        <f>"001588"</f>
        <v>001588</v>
      </c>
      <c r="P14" s="7">
        <v>43600</v>
      </c>
      <c r="Q14" s="10">
        <v>9.9678000000000004</v>
      </c>
      <c r="R14" s="10">
        <v>1.349</v>
      </c>
      <c r="S14" s="10">
        <v>8.6188000000000002</v>
      </c>
      <c r="T14" s="8">
        <v>46</v>
      </c>
      <c r="U14" s="7">
        <v>43600</v>
      </c>
      <c r="V14" s="8">
        <v>9980949398</v>
      </c>
      <c r="W14" s="9" t="s">
        <v>84</v>
      </c>
      <c r="X14" s="8" t="s">
        <v>48</v>
      </c>
      <c r="Y14" s="9" t="s">
        <v>49</v>
      </c>
      <c r="Z14" s="8" t="s">
        <v>46</v>
      </c>
      <c r="AA14" s="9" t="s">
        <v>47</v>
      </c>
      <c r="AB14" s="10">
        <f t="shared" si="0"/>
        <v>9.9678000000000003E-2</v>
      </c>
    </row>
    <row r="15" spans="1:28" s="4" customFormat="1" ht="13" x14ac:dyDescent="0.3">
      <c r="A15" s="5">
        <v>2063</v>
      </c>
      <c r="B15" s="6" t="s">
        <v>34</v>
      </c>
      <c r="C15" s="7">
        <v>43601</v>
      </c>
      <c r="D15" s="8">
        <v>59</v>
      </c>
      <c r="E15" s="9" t="s">
        <v>53</v>
      </c>
      <c r="F15" s="8" t="s">
        <v>85</v>
      </c>
      <c r="G15" s="9" t="s">
        <v>86</v>
      </c>
      <c r="H15" s="8" t="str">
        <f>"000223"</f>
        <v>000223</v>
      </c>
      <c r="I15" s="7">
        <v>43421</v>
      </c>
      <c r="J15" s="8" t="str">
        <f>"000161"</f>
        <v>000161</v>
      </c>
      <c r="K15" s="7">
        <v>43464</v>
      </c>
      <c r="L15" s="8" t="str">
        <f>"000294"</f>
        <v>000294</v>
      </c>
      <c r="M15" s="7">
        <v>43464</v>
      </c>
      <c r="N15" s="8">
        <v>19</v>
      </c>
      <c r="O15" s="8" t="str">
        <f>"001437"</f>
        <v>001437</v>
      </c>
      <c r="P15" s="7">
        <v>43598</v>
      </c>
      <c r="Q15" s="10">
        <v>29.946770000000001</v>
      </c>
      <c r="R15" s="10">
        <v>3.3126699999999998</v>
      </c>
      <c r="S15" s="10">
        <v>26.6341</v>
      </c>
      <c r="T15" s="8">
        <v>48</v>
      </c>
      <c r="U15" s="7">
        <v>43601</v>
      </c>
      <c r="V15" s="8">
        <v>123456789</v>
      </c>
      <c r="W15" s="9" t="s">
        <v>52</v>
      </c>
      <c r="X15" s="8" t="s">
        <v>38</v>
      </c>
      <c r="Y15" s="9" t="s">
        <v>39</v>
      </c>
      <c r="Z15" s="8" t="s">
        <v>50</v>
      </c>
      <c r="AA15" s="9" t="s">
        <v>51</v>
      </c>
      <c r="AB15" s="10">
        <f t="shared" si="0"/>
        <v>0.2994677</v>
      </c>
    </row>
    <row r="16" spans="1:28" s="4" customFormat="1" ht="13" x14ac:dyDescent="0.3">
      <c r="A16" s="5">
        <v>2064</v>
      </c>
      <c r="B16" s="6" t="s">
        <v>34</v>
      </c>
      <c r="C16" s="7">
        <v>43603</v>
      </c>
      <c r="D16" s="8">
        <v>59</v>
      </c>
      <c r="E16" s="9" t="s">
        <v>53</v>
      </c>
      <c r="F16" s="8" t="s">
        <v>87</v>
      </c>
      <c r="G16" s="9" t="s">
        <v>88</v>
      </c>
      <c r="H16" s="8" t="str">
        <f>"000005"</f>
        <v>000005</v>
      </c>
      <c r="I16" s="7">
        <v>42936</v>
      </c>
      <c r="J16" s="8" t="str">
        <f>"000004"</f>
        <v>000004</v>
      </c>
      <c r="K16" s="7">
        <v>42936</v>
      </c>
      <c r="L16" s="8" t="str">
        <f>"000002"</f>
        <v>000002</v>
      </c>
      <c r="M16" s="7">
        <v>42936</v>
      </c>
      <c r="N16" s="8">
        <v>17</v>
      </c>
      <c r="O16" s="8" t="str">
        <f>"001677"</f>
        <v>001677</v>
      </c>
      <c r="P16" s="7">
        <v>43602</v>
      </c>
      <c r="Q16" s="10">
        <v>18.675789999999999</v>
      </c>
      <c r="R16" s="10">
        <v>1.38089</v>
      </c>
      <c r="S16" s="10">
        <v>17.294899999999998</v>
      </c>
      <c r="T16" s="8">
        <v>50</v>
      </c>
      <c r="U16" s="7">
        <v>43603</v>
      </c>
      <c r="V16" s="8">
        <v>123456789</v>
      </c>
      <c r="W16" s="9" t="s">
        <v>89</v>
      </c>
      <c r="X16" s="8" t="s">
        <v>32</v>
      </c>
      <c r="Y16" s="9" t="s">
        <v>33</v>
      </c>
      <c r="Z16" s="8" t="s">
        <v>50</v>
      </c>
      <c r="AA16" s="9" t="s">
        <v>51</v>
      </c>
      <c r="AB16" s="10">
        <f t="shared" si="0"/>
        <v>0.1867579</v>
      </c>
    </row>
    <row r="17" spans="1:28" s="4" customFormat="1" ht="13" x14ac:dyDescent="0.3">
      <c r="A17" s="5">
        <v>2065</v>
      </c>
      <c r="B17" s="6" t="s">
        <v>34</v>
      </c>
      <c r="C17" s="7">
        <v>43603</v>
      </c>
      <c r="D17" s="8">
        <v>59</v>
      </c>
      <c r="E17" s="9" t="s">
        <v>53</v>
      </c>
      <c r="F17" s="8" t="s">
        <v>90</v>
      </c>
      <c r="G17" s="9" t="s">
        <v>91</v>
      </c>
      <c r="H17" s="8" t="str">
        <f>"000004"</f>
        <v>000004</v>
      </c>
      <c r="I17" s="7">
        <v>42935</v>
      </c>
      <c r="J17" s="8" t="str">
        <f>"000003"</f>
        <v>000003</v>
      </c>
      <c r="K17" s="7">
        <v>42935</v>
      </c>
      <c r="L17" s="8" t="str">
        <f>"000003"</f>
        <v>000003</v>
      </c>
      <c r="M17" s="7">
        <v>42936</v>
      </c>
      <c r="N17" s="8">
        <v>17</v>
      </c>
      <c r="O17" s="8" t="str">
        <f>"001678"</f>
        <v>001678</v>
      </c>
      <c r="P17" s="7">
        <v>43602</v>
      </c>
      <c r="Q17" s="10">
        <v>18.05058</v>
      </c>
      <c r="R17" s="10">
        <v>1.3362099999999999</v>
      </c>
      <c r="S17" s="10">
        <v>16.714369999999999</v>
      </c>
      <c r="T17" s="8">
        <v>50</v>
      </c>
      <c r="U17" s="7">
        <v>43603</v>
      </c>
      <c r="V17" s="8">
        <v>123456789</v>
      </c>
      <c r="W17" s="9" t="s">
        <v>92</v>
      </c>
      <c r="X17" s="8" t="s">
        <v>32</v>
      </c>
      <c r="Y17" s="9" t="s">
        <v>33</v>
      </c>
      <c r="Z17" s="8" t="s">
        <v>50</v>
      </c>
      <c r="AA17" s="9" t="s">
        <v>51</v>
      </c>
      <c r="AB17" s="10">
        <f t="shared" si="0"/>
        <v>0.18050579999999999</v>
      </c>
    </row>
    <row r="18" spans="1:28" s="4" customFormat="1" ht="13" x14ac:dyDescent="0.3">
      <c r="A18" s="5">
        <v>2066</v>
      </c>
      <c r="B18" s="6" t="s">
        <v>34</v>
      </c>
      <c r="C18" s="7">
        <v>43603</v>
      </c>
      <c r="D18" s="8">
        <v>59</v>
      </c>
      <c r="E18" s="9" t="s">
        <v>53</v>
      </c>
      <c r="F18" s="8" t="s">
        <v>93</v>
      </c>
      <c r="G18" s="9" t="s">
        <v>94</v>
      </c>
      <c r="H18" s="8" t="str">
        <f>"000083"</f>
        <v>000083</v>
      </c>
      <c r="I18" s="7">
        <v>42988</v>
      </c>
      <c r="J18" s="8" t="str">
        <f>"000009"</f>
        <v>000009</v>
      </c>
      <c r="K18" s="7">
        <v>42988</v>
      </c>
      <c r="L18" s="8" t="str">
        <f>"000220"</f>
        <v>000220</v>
      </c>
      <c r="M18" s="7">
        <v>43018</v>
      </c>
      <c r="N18" s="8">
        <v>17</v>
      </c>
      <c r="O18" s="8" t="str">
        <f>"001705"</f>
        <v>001705</v>
      </c>
      <c r="P18" s="7">
        <v>43602</v>
      </c>
      <c r="Q18" s="10">
        <v>16.57253</v>
      </c>
      <c r="R18" s="10">
        <v>0.93899999999999995</v>
      </c>
      <c r="S18" s="10">
        <v>15.63353</v>
      </c>
      <c r="T18" s="8">
        <v>50</v>
      </c>
      <c r="U18" s="7">
        <v>43603</v>
      </c>
      <c r="V18" s="8">
        <v>8494946891</v>
      </c>
      <c r="W18" s="9" t="s">
        <v>95</v>
      </c>
      <c r="X18" s="8" t="s">
        <v>32</v>
      </c>
      <c r="Y18" s="9" t="s">
        <v>33</v>
      </c>
      <c r="Z18" s="8" t="s">
        <v>50</v>
      </c>
      <c r="AA18" s="9" t="s">
        <v>51</v>
      </c>
      <c r="AB18" s="10">
        <f t="shared" si="0"/>
        <v>0.16572529999999999</v>
      </c>
    </row>
    <row r="19" spans="1:28" s="4" customFormat="1" ht="13" x14ac:dyDescent="0.3">
      <c r="A19" s="5">
        <v>2067</v>
      </c>
      <c r="B19" s="6" t="s">
        <v>34</v>
      </c>
      <c r="C19" s="7">
        <v>43603</v>
      </c>
      <c r="D19" s="8">
        <v>59</v>
      </c>
      <c r="E19" s="9" t="s">
        <v>53</v>
      </c>
      <c r="F19" s="8" t="s">
        <v>96</v>
      </c>
      <c r="G19" s="9" t="s">
        <v>97</v>
      </c>
      <c r="H19" s="8" t="str">
        <f>"000085"</f>
        <v>000085</v>
      </c>
      <c r="I19" s="7">
        <v>42988</v>
      </c>
      <c r="J19" s="8" t="str">
        <f>"000011"</f>
        <v>000011</v>
      </c>
      <c r="K19" s="7">
        <v>42988</v>
      </c>
      <c r="L19" s="8" t="str">
        <f>"000222"</f>
        <v>000222</v>
      </c>
      <c r="M19" s="7">
        <v>43018</v>
      </c>
      <c r="N19" s="8">
        <v>17</v>
      </c>
      <c r="O19" s="8" t="str">
        <f>"001707"</f>
        <v>001707</v>
      </c>
      <c r="P19" s="7">
        <v>43602</v>
      </c>
      <c r="Q19" s="10">
        <v>17.175059999999998</v>
      </c>
      <c r="R19" s="10">
        <v>0.97199999999999998</v>
      </c>
      <c r="S19" s="10">
        <v>16.203060000000001</v>
      </c>
      <c r="T19" s="8">
        <v>50</v>
      </c>
      <c r="U19" s="7">
        <v>43603</v>
      </c>
      <c r="V19" s="8">
        <v>123456789</v>
      </c>
      <c r="W19" s="9" t="s">
        <v>95</v>
      </c>
      <c r="X19" s="8" t="s">
        <v>32</v>
      </c>
      <c r="Y19" s="9" t="s">
        <v>33</v>
      </c>
      <c r="Z19" s="8" t="s">
        <v>50</v>
      </c>
      <c r="AA19" s="9" t="s">
        <v>51</v>
      </c>
      <c r="AB19" s="10">
        <f t="shared" si="0"/>
        <v>0.17175059999999998</v>
      </c>
    </row>
    <row r="20" spans="1:28" s="4" customFormat="1" ht="13" x14ac:dyDescent="0.3">
      <c r="A20" s="5">
        <v>2068</v>
      </c>
      <c r="B20" s="6" t="s">
        <v>34</v>
      </c>
      <c r="C20" s="7">
        <v>43603</v>
      </c>
      <c r="D20" s="8">
        <v>59</v>
      </c>
      <c r="E20" s="9" t="s">
        <v>53</v>
      </c>
      <c r="F20" s="8" t="s">
        <v>98</v>
      </c>
      <c r="G20" s="9" t="s">
        <v>99</v>
      </c>
      <c r="H20" s="8" t="str">
        <f>"000123"</f>
        <v>000123</v>
      </c>
      <c r="I20" s="7">
        <v>43019</v>
      </c>
      <c r="J20" s="8" t="str">
        <f>"000017"</f>
        <v>000017</v>
      </c>
      <c r="K20" s="7">
        <v>43019</v>
      </c>
      <c r="L20" s="8" t="str">
        <f>"000231"</f>
        <v>000231</v>
      </c>
      <c r="M20" s="7">
        <v>43019</v>
      </c>
      <c r="N20" s="8">
        <v>17</v>
      </c>
      <c r="O20" s="8" t="str">
        <f>"001709"</f>
        <v>001709</v>
      </c>
      <c r="P20" s="7">
        <v>43602</v>
      </c>
      <c r="Q20" s="10">
        <v>17.87189</v>
      </c>
      <c r="R20" s="10">
        <v>0.97399999999999998</v>
      </c>
      <c r="S20" s="10">
        <v>16.89789</v>
      </c>
      <c r="T20" s="8">
        <v>50</v>
      </c>
      <c r="U20" s="7">
        <v>43603</v>
      </c>
      <c r="V20" s="8">
        <v>9886307127</v>
      </c>
      <c r="W20" s="9" t="s">
        <v>100</v>
      </c>
      <c r="X20" s="8" t="s">
        <v>32</v>
      </c>
      <c r="Y20" s="9" t="s">
        <v>33</v>
      </c>
      <c r="Z20" s="8" t="s">
        <v>50</v>
      </c>
      <c r="AA20" s="9" t="s">
        <v>51</v>
      </c>
      <c r="AB20" s="10">
        <f t="shared" si="0"/>
        <v>0.17871890000000001</v>
      </c>
    </row>
    <row r="21" spans="1:28" s="4" customFormat="1" ht="13" x14ac:dyDescent="0.3">
      <c r="A21" s="5">
        <v>2069</v>
      </c>
      <c r="B21" s="6" t="s">
        <v>34</v>
      </c>
      <c r="C21" s="7">
        <v>43609</v>
      </c>
      <c r="D21" s="8">
        <v>59</v>
      </c>
      <c r="E21" s="9" t="s">
        <v>53</v>
      </c>
      <c r="F21" s="8" t="s">
        <v>101</v>
      </c>
      <c r="G21" s="9" t="s">
        <v>102</v>
      </c>
      <c r="H21" s="8" t="str">
        <f>"000003"</f>
        <v>000003</v>
      </c>
      <c r="I21" s="7">
        <v>42990</v>
      </c>
      <c r="J21" s="8" t="str">
        <f>"000014"</f>
        <v>000014</v>
      </c>
      <c r="K21" s="7">
        <v>42990</v>
      </c>
      <c r="L21" s="8" t="str">
        <f>"000225"</f>
        <v>000225</v>
      </c>
      <c r="M21" s="7">
        <v>43018</v>
      </c>
      <c r="N21" s="8">
        <v>16</v>
      </c>
      <c r="O21" s="8" t="str">
        <f>"001973"</f>
        <v>001973</v>
      </c>
      <c r="P21" s="7">
        <v>43607</v>
      </c>
      <c r="Q21" s="10">
        <v>1.8868100000000001</v>
      </c>
      <c r="R21" s="10">
        <v>0.11464000000000001</v>
      </c>
      <c r="S21" s="10">
        <v>1.77217</v>
      </c>
      <c r="T21" s="8">
        <v>57</v>
      </c>
      <c r="U21" s="7">
        <v>43609</v>
      </c>
      <c r="V21" s="8">
        <v>9986457680</v>
      </c>
      <c r="W21" s="9" t="s">
        <v>103</v>
      </c>
      <c r="X21" s="8" t="s">
        <v>32</v>
      </c>
      <c r="Y21" s="9" t="s">
        <v>33</v>
      </c>
      <c r="Z21" s="8" t="s">
        <v>50</v>
      </c>
      <c r="AA21" s="9" t="s">
        <v>51</v>
      </c>
      <c r="AB21" s="10">
        <f t="shared" si="0"/>
        <v>1.8868100000000002E-2</v>
      </c>
    </row>
    <row r="22" spans="1:28" s="4" customFormat="1" ht="13" x14ac:dyDescent="0.3">
      <c r="A22" s="5">
        <v>2070</v>
      </c>
      <c r="B22" s="6" t="s">
        <v>34</v>
      </c>
      <c r="C22" s="7">
        <v>43615</v>
      </c>
      <c r="D22" s="8">
        <v>59</v>
      </c>
      <c r="E22" s="9" t="s">
        <v>53</v>
      </c>
      <c r="F22" s="8" t="s">
        <v>104</v>
      </c>
      <c r="G22" s="9" t="s">
        <v>105</v>
      </c>
      <c r="H22" s="8" t="str">
        <f>"000002"</f>
        <v>000002</v>
      </c>
      <c r="I22" s="7">
        <v>42990</v>
      </c>
      <c r="J22" s="8" t="str">
        <f>"000003"</f>
        <v>000003</v>
      </c>
      <c r="K22" s="7">
        <v>42825</v>
      </c>
      <c r="L22" s="8" t="str">
        <f>"000224"</f>
        <v>000224</v>
      </c>
      <c r="M22" s="7">
        <v>43018</v>
      </c>
      <c r="N22" s="8">
        <v>16</v>
      </c>
      <c r="O22" s="8" t="str">
        <f>"002184"</f>
        <v>002184</v>
      </c>
      <c r="P22" s="7">
        <v>43613</v>
      </c>
      <c r="Q22" s="10">
        <v>1.8803700000000001</v>
      </c>
      <c r="R22" s="10">
        <v>0.11452</v>
      </c>
      <c r="S22" s="10">
        <v>1.7658499999999999</v>
      </c>
      <c r="T22" s="8">
        <v>65</v>
      </c>
      <c r="U22" s="7">
        <v>43615</v>
      </c>
      <c r="V22" s="8">
        <v>9986457680</v>
      </c>
      <c r="W22" s="9" t="s">
        <v>106</v>
      </c>
      <c r="X22" s="8" t="s">
        <v>32</v>
      </c>
      <c r="Y22" s="9" t="s">
        <v>33</v>
      </c>
      <c r="Z22" s="8" t="s">
        <v>50</v>
      </c>
      <c r="AA22" s="9" t="s">
        <v>51</v>
      </c>
      <c r="AB22" s="10">
        <f t="shared" si="0"/>
        <v>1.88037E-2</v>
      </c>
    </row>
    <row r="23" spans="1:28" s="4" customFormat="1" ht="13" x14ac:dyDescent="0.3">
      <c r="A23" s="5">
        <v>2071</v>
      </c>
      <c r="B23" s="6" t="s">
        <v>31</v>
      </c>
      <c r="C23" s="7">
        <v>43623</v>
      </c>
      <c r="D23" s="8">
        <v>59</v>
      </c>
      <c r="E23" s="9" t="s">
        <v>53</v>
      </c>
      <c r="F23" s="8" t="s">
        <v>72</v>
      </c>
      <c r="G23" s="9" t="s">
        <v>75</v>
      </c>
      <c r="H23" s="8" t="str">
        <f>"000031"</f>
        <v>000031</v>
      </c>
      <c r="I23" s="7">
        <v>43054</v>
      </c>
      <c r="J23" s="8" t="str">
        <f>"000009"</f>
        <v>000009</v>
      </c>
      <c r="K23" s="7">
        <v>43595</v>
      </c>
      <c r="L23" s="8" t="str">
        <f>"000006"</f>
        <v>000006</v>
      </c>
      <c r="M23" s="7">
        <v>43595</v>
      </c>
      <c r="N23" s="8">
        <v>16</v>
      </c>
      <c r="O23" s="8" t="str">
        <f>"002322"</f>
        <v>002322</v>
      </c>
      <c r="P23" s="7">
        <v>43617</v>
      </c>
      <c r="Q23" s="10">
        <v>4.53803</v>
      </c>
      <c r="R23" s="10">
        <v>0.58630000000000004</v>
      </c>
      <c r="S23" s="10">
        <v>3.95173</v>
      </c>
      <c r="T23" s="8">
        <v>73</v>
      </c>
      <c r="U23" s="7">
        <v>43623</v>
      </c>
      <c r="V23" s="8">
        <v>9972630496</v>
      </c>
      <c r="W23" s="9" t="s">
        <v>74</v>
      </c>
      <c r="X23" s="8" t="s">
        <v>29</v>
      </c>
      <c r="Y23" s="9" t="s">
        <v>30</v>
      </c>
      <c r="Z23" s="8" t="s">
        <v>44</v>
      </c>
      <c r="AA23" s="9" t="s">
        <v>45</v>
      </c>
      <c r="AB23" s="10">
        <v>4.5380299999999998E-2</v>
      </c>
    </row>
    <row r="24" spans="1:28" s="4" customFormat="1" ht="13" x14ac:dyDescent="0.3">
      <c r="A24" s="5">
        <v>2072</v>
      </c>
      <c r="B24" s="6" t="s">
        <v>107</v>
      </c>
      <c r="C24" s="7">
        <v>43654</v>
      </c>
      <c r="D24" s="8">
        <v>59</v>
      </c>
      <c r="E24" s="9" t="s">
        <v>53</v>
      </c>
      <c r="F24" s="8" t="s">
        <v>108</v>
      </c>
      <c r="G24" s="11" t="s">
        <v>109</v>
      </c>
      <c r="H24" s="8" t="str">
        <f>"000113"</f>
        <v>000113</v>
      </c>
      <c r="I24" s="7">
        <v>42996</v>
      </c>
      <c r="J24" s="8" t="str">
        <f>"000088"</f>
        <v>000088</v>
      </c>
      <c r="K24" s="7">
        <v>43124</v>
      </c>
      <c r="L24" s="8" t="str">
        <f>"000337"</f>
        <v>000337</v>
      </c>
      <c r="M24" s="7">
        <v>43124</v>
      </c>
      <c r="N24" s="8">
        <v>17</v>
      </c>
      <c r="O24" s="8" t="str">
        <f>"003329"</f>
        <v>003329</v>
      </c>
      <c r="P24" s="7">
        <v>43650</v>
      </c>
      <c r="Q24" s="12">
        <v>24.851749999999999</v>
      </c>
      <c r="R24" s="12">
        <v>2.7905000000000002</v>
      </c>
      <c r="S24" s="12">
        <v>22.061250000000001</v>
      </c>
      <c r="T24" s="8">
        <v>108</v>
      </c>
      <c r="U24" s="7">
        <v>43654</v>
      </c>
      <c r="V24" s="8">
        <v>123456789</v>
      </c>
      <c r="W24" s="11" t="s">
        <v>110</v>
      </c>
      <c r="X24" s="8" t="s">
        <v>111</v>
      </c>
      <c r="Y24" s="11" t="s">
        <v>112</v>
      </c>
      <c r="Z24" s="8" t="s">
        <v>50</v>
      </c>
      <c r="AA24" s="11" t="s">
        <v>51</v>
      </c>
      <c r="AB24" s="12">
        <f t="shared" ref="AB24:AB31" si="1">Q24/100</f>
        <v>0.2485175</v>
      </c>
    </row>
    <row r="25" spans="1:28" s="4" customFormat="1" ht="13" x14ac:dyDescent="0.3">
      <c r="A25" s="5">
        <v>2073</v>
      </c>
      <c r="B25" s="6" t="s">
        <v>107</v>
      </c>
      <c r="C25" s="7">
        <v>43665</v>
      </c>
      <c r="D25" s="8">
        <v>59</v>
      </c>
      <c r="E25" s="9" t="s">
        <v>53</v>
      </c>
      <c r="F25" s="8" t="s">
        <v>113</v>
      </c>
      <c r="G25" s="11" t="s">
        <v>114</v>
      </c>
      <c r="H25" s="8" t="str">
        <f>"000032"</f>
        <v>000032</v>
      </c>
      <c r="I25" s="7">
        <v>43635</v>
      </c>
      <c r="J25" s="8" t="str">
        <f>"000030"</f>
        <v>000030</v>
      </c>
      <c r="K25" s="7">
        <v>43635</v>
      </c>
      <c r="L25" s="8" t="str">
        <f>"000057"</f>
        <v>000057</v>
      </c>
      <c r="M25" s="7">
        <v>43635</v>
      </c>
      <c r="N25" s="8">
        <v>18</v>
      </c>
      <c r="O25" s="8" t="str">
        <f>"003501"</f>
        <v>003501</v>
      </c>
      <c r="P25" s="7">
        <v>43663</v>
      </c>
      <c r="Q25" s="12">
        <v>19.911799999999999</v>
      </c>
      <c r="R25" s="12">
        <v>2.37548</v>
      </c>
      <c r="S25" s="12">
        <v>17.53632</v>
      </c>
      <c r="T25" s="8">
        <v>117</v>
      </c>
      <c r="U25" s="7">
        <v>43665</v>
      </c>
      <c r="V25" s="8">
        <v>123456789</v>
      </c>
      <c r="W25" s="11" t="s">
        <v>78</v>
      </c>
      <c r="X25" s="8" t="s">
        <v>36</v>
      </c>
      <c r="Y25" s="11" t="s">
        <v>37</v>
      </c>
      <c r="Z25" s="8" t="s">
        <v>50</v>
      </c>
      <c r="AA25" s="11" t="s">
        <v>51</v>
      </c>
      <c r="AB25" s="12">
        <f t="shared" si="1"/>
        <v>0.19911799999999999</v>
      </c>
    </row>
    <row r="26" spans="1:28" s="4" customFormat="1" ht="13" x14ac:dyDescent="0.3">
      <c r="A26" s="5">
        <v>2074</v>
      </c>
      <c r="B26" s="6" t="s">
        <v>115</v>
      </c>
      <c r="C26" s="7">
        <v>43698</v>
      </c>
      <c r="D26" s="8">
        <v>59</v>
      </c>
      <c r="E26" s="9" t="s">
        <v>53</v>
      </c>
      <c r="F26" s="8" t="s">
        <v>72</v>
      </c>
      <c r="G26" s="11" t="s">
        <v>73</v>
      </c>
      <c r="H26" s="8" t="str">
        <f>"000031"</f>
        <v>000031</v>
      </c>
      <c r="I26" s="7">
        <v>43054</v>
      </c>
      <c r="J26" s="8" t="str">
        <f>"000125"</f>
        <v>000125</v>
      </c>
      <c r="K26" s="7">
        <v>43777</v>
      </c>
      <c r="L26" s="8" t="str">
        <f>"000125"</f>
        <v>000125</v>
      </c>
      <c r="M26" s="7">
        <v>43777</v>
      </c>
      <c r="N26" s="8">
        <v>16</v>
      </c>
      <c r="O26" s="8" t="str">
        <f>"006346"</f>
        <v>006346</v>
      </c>
      <c r="P26" s="7">
        <v>43791</v>
      </c>
      <c r="Q26" s="12">
        <v>3.4035199999999999</v>
      </c>
      <c r="R26" s="12">
        <v>0.43525000000000003</v>
      </c>
      <c r="S26" s="12">
        <v>2.96827</v>
      </c>
      <c r="T26" s="8">
        <v>161</v>
      </c>
      <c r="U26" s="7">
        <v>43698</v>
      </c>
      <c r="V26" s="8">
        <v>9972630496</v>
      </c>
      <c r="W26" s="11" t="s">
        <v>74</v>
      </c>
      <c r="X26" s="8" t="s">
        <v>29</v>
      </c>
      <c r="Y26" s="11" t="s">
        <v>30</v>
      </c>
      <c r="Z26" s="8" t="s">
        <v>44</v>
      </c>
      <c r="AA26" s="11" t="s">
        <v>45</v>
      </c>
      <c r="AB26" s="12">
        <f t="shared" si="1"/>
        <v>3.4035200000000002E-2</v>
      </c>
    </row>
    <row r="27" spans="1:28" s="4" customFormat="1" ht="13" x14ac:dyDescent="0.3">
      <c r="A27" s="5">
        <v>2075</v>
      </c>
      <c r="B27" s="6" t="s">
        <v>115</v>
      </c>
      <c r="C27" s="7">
        <v>43707</v>
      </c>
      <c r="D27" s="8">
        <v>59</v>
      </c>
      <c r="E27" s="9" t="s">
        <v>53</v>
      </c>
      <c r="F27" s="8" t="s">
        <v>116</v>
      </c>
      <c r="G27" s="11" t="s">
        <v>117</v>
      </c>
      <c r="H27" s="8" t="str">
        <f>"000152"</f>
        <v>000152</v>
      </c>
      <c r="I27" s="7">
        <v>43076</v>
      </c>
      <c r="J27" s="8" t="str">
        <f>"000142"</f>
        <v>000142</v>
      </c>
      <c r="K27" s="7">
        <v>43187</v>
      </c>
      <c r="L27" s="8" t="str">
        <f>"000403"</f>
        <v>000403</v>
      </c>
      <c r="M27" s="7">
        <v>43187</v>
      </c>
      <c r="N27" s="8">
        <v>17</v>
      </c>
      <c r="O27" s="8" t="str">
        <f>"004664"</f>
        <v>004664</v>
      </c>
      <c r="P27" s="7">
        <v>43697</v>
      </c>
      <c r="Q27" s="12">
        <v>7.7972999999999999</v>
      </c>
      <c r="R27" s="12">
        <v>0.35589999999999999</v>
      </c>
      <c r="S27" s="12">
        <v>7.4413999999999998</v>
      </c>
      <c r="T27" s="8">
        <v>173</v>
      </c>
      <c r="U27" s="7">
        <v>43707</v>
      </c>
      <c r="V27" s="8">
        <v>123456789</v>
      </c>
      <c r="W27" s="11" t="s">
        <v>118</v>
      </c>
      <c r="X27" s="8" t="s">
        <v>32</v>
      </c>
      <c r="Y27" s="11" t="s">
        <v>33</v>
      </c>
      <c r="Z27" s="8" t="s">
        <v>50</v>
      </c>
      <c r="AA27" s="11" t="s">
        <v>51</v>
      </c>
      <c r="AB27" s="12">
        <f t="shared" si="1"/>
        <v>7.7973000000000001E-2</v>
      </c>
    </row>
    <row r="28" spans="1:28" s="4" customFormat="1" ht="13" x14ac:dyDescent="0.3">
      <c r="A28" s="5">
        <v>2076</v>
      </c>
      <c r="B28" s="6" t="s">
        <v>119</v>
      </c>
      <c r="C28" s="7">
        <v>43726</v>
      </c>
      <c r="D28" s="8">
        <v>59</v>
      </c>
      <c r="E28" s="9" t="s">
        <v>53</v>
      </c>
      <c r="F28" s="8" t="s">
        <v>120</v>
      </c>
      <c r="G28" s="11" t="s">
        <v>121</v>
      </c>
      <c r="H28" s="8" t="str">
        <f>"000168"</f>
        <v>000168</v>
      </c>
      <c r="I28" s="7">
        <v>43392</v>
      </c>
      <c r="J28" s="8" t="str">
        <f>"000047"</f>
        <v>000047</v>
      </c>
      <c r="K28" s="7">
        <v>43671</v>
      </c>
      <c r="L28" s="8" t="str">
        <f>"000080"</f>
        <v>000080</v>
      </c>
      <c r="M28" s="7">
        <v>43671</v>
      </c>
      <c r="N28" s="8">
        <v>18</v>
      </c>
      <c r="O28" s="8" t="str">
        <f>"005045"</f>
        <v>005045</v>
      </c>
      <c r="P28" s="7">
        <v>43720</v>
      </c>
      <c r="Q28" s="12">
        <v>4.9720800000000001</v>
      </c>
      <c r="R28" s="12">
        <v>0.52990999999999999</v>
      </c>
      <c r="S28" s="12">
        <v>4.44217</v>
      </c>
      <c r="T28" s="8">
        <v>191</v>
      </c>
      <c r="U28" s="7">
        <v>43726</v>
      </c>
      <c r="V28" s="8">
        <v>123456789</v>
      </c>
      <c r="W28" s="11" t="s">
        <v>52</v>
      </c>
      <c r="X28" s="8" t="s">
        <v>122</v>
      </c>
      <c r="Y28" s="11" t="s">
        <v>123</v>
      </c>
      <c r="Z28" s="8" t="s">
        <v>50</v>
      </c>
      <c r="AA28" s="11" t="s">
        <v>51</v>
      </c>
      <c r="AB28" s="12">
        <f t="shared" si="1"/>
        <v>4.9720800000000002E-2</v>
      </c>
    </row>
    <row r="29" spans="1:28" s="4" customFormat="1" ht="13" x14ac:dyDescent="0.3">
      <c r="A29" s="5">
        <v>2077</v>
      </c>
      <c r="B29" s="6" t="s">
        <v>119</v>
      </c>
      <c r="C29" s="7">
        <v>43726</v>
      </c>
      <c r="D29" s="8">
        <v>59</v>
      </c>
      <c r="E29" s="9" t="s">
        <v>53</v>
      </c>
      <c r="F29" s="8" t="s">
        <v>124</v>
      </c>
      <c r="G29" s="11" t="s">
        <v>125</v>
      </c>
      <c r="H29" s="8" t="str">
        <f>"000167"</f>
        <v>000167</v>
      </c>
      <c r="I29" s="7">
        <v>43392</v>
      </c>
      <c r="J29" s="8" t="str">
        <f>"000044"</f>
        <v>000044</v>
      </c>
      <c r="K29" s="7">
        <v>43671</v>
      </c>
      <c r="L29" s="8" t="str">
        <f>"000077"</f>
        <v>000077</v>
      </c>
      <c r="M29" s="7">
        <v>43671</v>
      </c>
      <c r="N29" s="8">
        <v>18</v>
      </c>
      <c r="O29" s="8" t="str">
        <f>"005047"</f>
        <v>005047</v>
      </c>
      <c r="P29" s="7">
        <v>43720</v>
      </c>
      <c r="Q29" s="12">
        <v>14.972009999999999</v>
      </c>
      <c r="R29" s="12">
        <v>1.76278</v>
      </c>
      <c r="S29" s="12">
        <v>13.20923</v>
      </c>
      <c r="T29" s="8">
        <v>191</v>
      </c>
      <c r="U29" s="7">
        <v>43726</v>
      </c>
      <c r="V29" s="8">
        <v>123456789</v>
      </c>
      <c r="W29" s="11" t="s">
        <v>52</v>
      </c>
      <c r="X29" s="8" t="s">
        <v>126</v>
      </c>
      <c r="Y29" s="11" t="s">
        <v>127</v>
      </c>
      <c r="Z29" s="8" t="s">
        <v>50</v>
      </c>
      <c r="AA29" s="11" t="s">
        <v>51</v>
      </c>
      <c r="AB29" s="12">
        <f t="shared" si="1"/>
        <v>0.14972009999999999</v>
      </c>
    </row>
    <row r="30" spans="1:28" s="4" customFormat="1" ht="13" x14ac:dyDescent="0.3">
      <c r="A30" s="5">
        <v>2078</v>
      </c>
      <c r="B30" s="6" t="s">
        <v>119</v>
      </c>
      <c r="C30" s="7">
        <v>43726</v>
      </c>
      <c r="D30" s="8">
        <v>59</v>
      </c>
      <c r="E30" s="9" t="s">
        <v>53</v>
      </c>
      <c r="F30" s="8" t="s">
        <v>128</v>
      </c>
      <c r="G30" s="11" t="s">
        <v>129</v>
      </c>
      <c r="H30" s="8" t="str">
        <f>"000169"</f>
        <v>000169</v>
      </c>
      <c r="I30" s="7">
        <v>43392</v>
      </c>
      <c r="J30" s="8" t="str">
        <f>"000045"</f>
        <v>000045</v>
      </c>
      <c r="K30" s="7">
        <v>43671</v>
      </c>
      <c r="L30" s="8" t="str">
        <f>"000078"</f>
        <v>000078</v>
      </c>
      <c r="M30" s="7">
        <v>43671</v>
      </c>
      <c r="N30" s="8">
        <v>18</v>
      </c>
      <c r="O30" s="8" t="str">
        <f>"005048"</f>
        <v>005048</v>
      </c>
      <c r="P30" s="7">
        <v>43720</v>
      </c>
      <c r="Q30" s="12">
        <v>4.9905999999999997</v>
      </c>
      <c r="R30" s="12">
        <v>0.54796999999999996</v>
      </c>
      <c r="S30" s="12">
        <v>4.4426300000000003</v>
      </c>
      <c r="T30" s="8">
        <v>191</v>
      </c>
      <c r="U30" s="7">
        <v>43726</v>
      </c>
      <c r="V30" s="8">
        <v>123456789</v>
      </c>
      <c r="W30" s="11" t="s">
        <v>130</v>
      </c>
      <c r="X30" s="8" t="s">
        <v>131</v>
      </c>
      <c r="Y30" s="11" t="s">
        <v>132</v>
      </c>
      <c r="Z30" s="8" t="s">
        <v>50</v>
      </c>
      <c r="AA30" s="11" t="s">
        <v>51</v>
      </c>
      <c r="AB30" s="12">
        <f t="shared" si="1"/>
        <v>4.9905999999999999E-2</v>
      </c>
    </row>
    <row r="31" spans="1:28" s="4" customFormat="1" ht="13" x14ac:dyDescent="0.3">
      <c r="A31" s="5">
        <v>2079</v>
      </c>
      <c r="B31" s="6" t="s">
        <v>119</v>
      </c>
      <c r="C31" s="7">
        <v>43726</v>
      </c>
      <c r="D31" s="8">
        <v>59</v>
      </c>
      <c r="E31" s="9" t="s">
        <v>53</v>
      </c>
      <c r="F31" s="8" t="s">
        <v>133</v>
      </c>
      <c r="G31" s="11" t="s">
        <v>134</v>
      </c>
      <c r="H31" s="8" t="str">
        <f>"000170"</f>
        <v>000170</v>
      </c>
      <c r="I31" s="7">
        <v>43392</v>
      </c>
      <c r="J31" s="8" t="str">
        <f>"000046"</f>
        <v>000046</v>
      </c>
      <c r="K31" s="7">
        <v>43671</v>
      </c>
      <c r="L31" s="8" t="str">
        <f>"000079"</f>
        <v>000079</v>
      </c>
      <c r="M31" s="7">
        <v>43671</v>
      </c>
      <c r="N31" s="8">
        <v>18</v>
      </c>
      <c r="O31" s="8" t="str">
        <f>"005049"</f>
        <v>005049</v>
      </c>
      <c r="P31" s="7">
        <v>43720</v>
      </c>
      <c r="Q31" s="12">
        <v>4.9888000000000003</v>
      </c>
      <c r="R31" s="12">
        <v>0.52532000000000001</v>
      </c>
      <c r="S31" s="12">
        <v>4.4634799999999997</v>
      </c>
      <c r="T31" s="8">
        <v>191</v>
      </c>
      <c r="U31" s="7">
        <v>43726</v>
      </c>
      <c r="V31" s="8">
        <v>123456789</v>
      </c>
      <c r="W31" s="11" t="s">
        <v>130</v>
      </c>
      <c r="X31" s="8" t="s">
        <v>135</v>
      </c>
      <c r="Y31" s="11" t="s">
        <v>136</v>
      </c>
      <c r="Z31" s="8" t="s">
        <v>50</v>
      </c>
      <c r="AA31" s="11" t="s">
        <v>51</v>
      </c>
      <c r="AB31" s="12">
        <f t="shared" si="1"/>
        <v>4.9888000000000002E-2</v>
      </c>
    </row>
    <row r="32" spans="1:28" s="4" customFormat="1" ht="13" x14ac:dyDescent="0.3">
      <c r="A32" s="5">
        <v>2080</v>
      </c>
      <c r="B32" s="6" t="s">
        <v>137</v>
      </c>
      <c r="C32" s="7">
        <v>43795</v>
      </c>
      <c r="D32" s="5">
        <v>59</v>
      </c>
      <c r="E32" s="9" t="s">
        <v>53</v>
      </c>
      <c r="F32" s="8" t="s">
        <v>72</v>
      </c>
      <c r="G32" s="9" t="s">
        <v>73</v>
      </c>
      <c r="H32" s="8" t="str">
        <f>"000031"</f>
        <v>000031</v>
      </c>
      <c r="I32" s="7">
        <v>43054</v>
      </c>
      <c r="J32" s="8" t="str">
        <f>"000125"</f>
        <v>000125</v>
      </c>
      <c r="K32" s="7">
        <v>43777</v>
      </c>
      <c r="L32" s="8" t="str">
        <f>"000125"</f>
        <v>000125</v>
      </c>
      <c r="M32" s="7">
        <v>43777</v>
      </c>
      <c r="N32" s="8">
        <v>16</v>
      </c>
      <c r="O32" s="8" t="str">
        <f>"006346"</f>
        <v>006346</v>
      </c>
      <c r="P32" s="7">
        <v>43791</v>
      </c>
      <c r="Q32" s="10">
        <v>3.4035199999999999</v>
      </c>
      <c r="R32" s="10">
        <v>0.43375999999999998</v>
      </c>
      <c r="S32" s="10">
        <v>2.96976</v>
      </c>
      <c r="T32" s="8">
        <v>13</v>
      </c>
      <c r="U32" s="7">
        <v>43795</v>
      </c>
      <c r="V32" s="8">
        <v>9972630496</v>
      </c>
      <c r="W32" s="9" t="s">
        <v>74</v>
      </c>
      <c r="X32" s="8" t="s">
        <v>29</v>
      </c>
      <c r="Y32" s="9" t="s">
        <v>30</v>
      </c>
      <c r="Z32" s="8" t="s">
        <v>44</v>
      </c>
      <c r="AA32" s="9" t="s">
        <v>45</v>
      </c>
      <c r="AB32" s="10">
        <v>3.4035200000000002E-2</v>
      </c>
    </row>
    <row r="33" spans="1:28" s="4" customFormat="1" ht="13" x14ac:dyDescent="0.3">
      <c r="A33" s="5">
        <v>2081</v>
      </c>
      <c r="B33" s="6" t="s">
        <v>138</v>
      </c>
      <c r="C33" s="7">
        <v>43805</v>
      </c>
      <c r="D33" s="5">
        <v>59</v>
      </c>
      <c r="E33" s="9" t="s">
        <v>53</v>
      </c>
      <c r="F33" s="8" t="s">
        <v>139</v>
      </c>
      <c r="G33" s="9" t="s">
        <v>140</v>
      </c>
      <c r="H33" s="8" t="str">
        <f>"000076"</f>
        <v>000076</v>
      </c>
      <c r="I33" s="7">
        <v>43700</v>
      </c>
      <c r="J33" s="8" t="str">
        <f>"000087"</f>
        <v>000087</v>
      </c>
      <c r="K33" s="7">
        <v>43729</v>
      </c>
      <c r="L33" s="8" t="str">
        <f>"000128"</f>
        <v>000128</v>
      </c>
      <c r="M33" s="7">
        <v>43729</v>
      </c>
      <c r="N33" s="8">
        <v>19</v>
      </c>
      <c r="O33" s="8" t="str">
        <f>"006483"</f>
        <v>006483</v>
      </c>
      <c r="P33" s="7">
        <v>43797</v>
      </c>
      <c r="Q33" s="10">
        <v>25.549510000000001</v>
      </c>
      <c r="R33" s="10">
        <v>1.57196</v>
      </c>
      <c r="S33" s="10">
        <v>23.977550000000001</v>
      </c>
      <c r="T33" s="8">
        <v>13</v>
      </c>
      <c r="U33" s="7">
        <v>43805</v>
      </c>
      <c r="V33" s="8">
        <v>123456789</v>
      </c>
      <c r="W33" s="9" t="s">
        <v>141</v>
      </c>
      <c r="X33" s="8" t="s">
        <v>32</v>
      </c>
      <c r="Y33" s="9" t="s">
        <v>33</v>
      </c>
      <c r="Z33" s="8" t="s">
        <v>50</v>
      </c>
      <c r="AA33" s="9" t="s">
        <v>51</v>
      </c>
      <c r="AB33" s="10">
        <v>0.25549510000000003</v>
      </c>
    </row>
    <row r="34" spans="1:28" s="4" customFormat="1" ht="13" x14ac:dyDescent="0.3">
      <c r="A34" s="5">
        <v>2082</v>
      </c>
      <c r="B34" s="6" t="s">
        <v>138</v>
      </c>
      <c r="C34" s="7">
        <v>43805</v>
      </c>
      <c r="D34" s="5">
        <v>59</v>
      </c>
      <c r="E34" s="9" t="s">
        <v>53</v>
      </c>
      <c r="F34" s="8" t="s">
        <v>142</v>
      </c>
      <c r="G34" s="9" t="s">
        <v>143</v>
      </c>
      <c r="H34" s="8" t="str">
        <f>"000081"</f>
        <v>000081</v>
      </c>
      <c r="I34" s="7">
        <v>43703</v>
      </c>
      <c r="J34" s="8" t="str">
        <f>"000088"</f>
        <v>000088</v>
      </c>
      <c r="K34" s="7">
        <v>43730</v>
      </c>
      <c r="L34" s="8" t="str">
        <f>"000129"</f>
        <v>000129</v>
      </c>
      <c r="M34" s="7">
        <v>43731</v>
      </c>
      <c r="N34" s="8">
        <v>19</v>
      </c>
      <c r="O34" s="8" t="str">
        <f>"006487"</f>
        <v>006487</v>
      </c>
      <c r="P34" s="7">
        <v>43797</v>
      </c>
      <c r="Q34" s="10">
        <v>13.17802</v>
      </c>
      <c r="R34" s="10">
        <v>0.80005999999999999</v>
      </c>
      <c r="S34" s="10">
        <v>12.37796</v>
      </c>
      <c r="T34" s="8">
        <v>13</v>
      </c>
      <c r="U34" s="7">
        <v>43805</v>
      </c>
      <c r="V34" s="8">
        <v>123456789</v>
      </c>
      <c r="W34" s="9" t="s">
        <v>144</v>
      </c>
      <c r="X34" s="8" t="s">
        <v>32</v>
      </c>
      <c r="Y34" s="9" t="s">
        <v>33</v>
      </c>
      <c r="Z34" s="8" t="s">
        <v>50</v>
      </c>
      <c r="AA34" s="9" t="s">
        <v>51</v>
      </c>
      <c r="AB34" s="10">
        <v>0.13178020000000001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2020-01-28T11:51:53Z</dcterms:modified>
</cp:coreProperties>
</file>