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8" i="1" l="1"/>
  <c r="L48" i="1"/>
  <c r="J48" i="1"/>
  <c r="H48" i="1"/>
  <c r="O47" i="1"/>
  <c r="L47" i="1"/>
  <c r="J47" i="1"/>
  <c r="H47" i="1"/>
  <c r="O46" i="1"/>
  <c r="L46" i="1"/>
  <c r="J46" i="1"/>
  <c r="H46" i="1"/>
  <c r="O45" i="1"/>
  <c r="L45" i="1"/>
  <c r="J45" i="1"/>
  <c r="H45" i="1"/>
  <c r="O44" i="1"/>
  <c r="L44" i="1"/>
  <c r="J44" i="1"/>
  <c r="H44" i="1"/>
  <c r="O43" i="1"/>
  <c r="L43" i="1"/>
  <c r="J43" i="1"/>
  <c r="H43" i="1"/>
  <c r="O42" i="1"/>
  <c r="L42" i="1"/>
  <c r="J42" i="1"/>
  <c r="H42"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<sst xmlns="http://schemas.openxmlformats.org/spreadsheetml/2006/main" count="451" uniqueCount="180">
  <si>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</si>
  <si>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</si>
  <si>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</si>
  <si>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</si>
  <si>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</si>
  <si>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</si>
  <si>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</si>
  <si>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</si>
  <si>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</si>
  <si>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</si>
  <si>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</si>
  <si>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</si>
  <si>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</si>
  <si>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</si>
  <si>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</si>
  <si>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</si>
  <si>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</si>
  <si>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</si>
  <si>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</si>
  <si>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</si>
  <si>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</si>
  <si>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</si>
  <si>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</si>
  <si>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</si>
  <si>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</si>
  <si>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</si>
  <si>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</si>
  <si>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</si>
  <si>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</si>
  <si>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</si>
  <si>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</si>
  <si>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ddo617</t>
  </si>
  <si>
    <t xml:space="preserve"> Executive Engineer Electrical Yelhanka Zone</t>
  </si>
  <si>
    <t>P3158</t>
  </si>
  <si>
    <t>SIP Infrastructure Project works</t>
  </si>
  <si>
    <t>ddo235</t>
  </si>
  <si>
    <t xml:space="preserve"> Assistant Executive Engineer Project-1 Yelahanka Zone</t>
  </si>
  <si>
    <t>June</t>
  </si>
  <si>
    <t>P1771</t>
  </si>
  <si>
    <t>Zone Works - POW Works</t>
  </si>
  <si>
    <t>P0298</t>
  </si>
  <si>
    <t>M and R to Electrical Installations in Parks and Gardens, Playgrounds, Burial Grounds</t>
  </si>
  <si>
    <t>May</t>
  </si>
  <si>
    <t>M/s Sri Lakshmivaradaraja Electrical Stores</t>
  </si>
  <si>
    <t>18per - Works (Bhagyajyothi, Sooru / Neeru Yojane and General) (54 Lakhs / New Wards)</t>
  </si>
  <si>
    <t>P1878</t>
  </si>
  <si>
    <t>Sri.Pradeepkumar.S.N Prof of M/s Ganga Enterprises</t>
  </si>
  <si>
    <t>P3106</t>
  </si>
  <si>
    <t>Nagarothana Works</t>
  </si>
  <si>
    <t>ddo226</t>
  </si>
  <si>
    <t xml:space="preserve"> Assistant Executive Engineer Dasarahalli Yelhanka Zone</t>
  </si>
  <si>
    <t>Technical Manger</t>
  </si>
  <si>
    <t>Executive Engineer,Karnataka Rural Infrastructure Development Ltd</t>
  </si>
  <si>
    <t>Thanisandra</t>
  </si>
  <si>
    <t>006-15-000009</t>
  </si>
  <si>
    <t>Improvements to Roads and Drains at Bharathnagara in Ward No 06 Byatarayanapura Sub Division</t>
  </si>
  <si>
    <t>V Chandrappa</t>
  </si>
  <si>
    <t>006-16-000015</t>
  </si>
  <si>
    <t>Improvements of Roads and Drains at Shabarinagara in Ward No 06 Byatarayanapura Sub Division</t>
  </si>
  <si>
    <t>N Naveen Kumar</t>
  </si>
  <si>
    <t>006-16-000001</t>
  </si>
  <si>
    <t>Operation and maintenance of Street lights in Thanisandra Ward W No 6PackageY 6</t>
  </si>
  <si>
    <t>310-18-000308</t>
  </si>
  <si>
    <t>Improvements to Roads, Drain and Construction of Culverts in New Shanthinagara Extension Ward No 06</t>
  </si>
  <si>
    <t>Technical Manger(West)</t>
  </si>
  <si>
    <t>006-18-000097</t>
  </si>
  <si>
    <t>Consultancy Services for Preparation of DPR (Which includes Survey Designs, Drawing,Estimate etc.,) and for Project Management Consultancy for Package No.01 (Package Consists of 18 Works)</t>
  </si>
  <si>
    <t>D Narahari Benaka Developers &amp; Projects Pvt Ltd</t>
  </si>
  <si>
    <t>Sri.Vinay Kumar G B</t>
  </si>
  <si>
    <t>310-18-000304</t>
  </si>
  <si>
    <t>Construction of Ambedkar Samudhaya Bhavana in Rachenahalli Village Ward No 06</t>
  </si>
  <si>
    <t>006-18-000065</t>
  </si>
  <si>
    <t>Providing LED  lights at Bhuvaneshwarinagara park in ward no 06 Byatarayanapura Sub Division</t>
  </si>
  <si>
    <t>P3290</t>
  </si>
  <si>
    <t>14th Finance Commission Works - Providing Street Lights and Maintenance</t>
  </si>
  <si>
    <t>006-18-000056</t>
  </si>
  <si>
    <t>Counsultancy Services for Project Management Consultancy fpr Package no:1 (package Consists of 3 works)</t>
  </si>
  <si>
    <t>M Venkatesh</t>
  </si>
  <si>
    <t>P3111</t>
  </si>
  <si>
    <t>State Finance Commission Untied Grant Works</t>
  </si>
  <si>
    <t>006-17-000052</t>
  </si>
  <si>
    <t xml:space="preserve">Construction of Sheltar and  Power Conection For Shredder in Near Railway Track </t>
  </si>
  <si>
    <t>Sri.Suresh K(Sri.Eranna Swamy Water Supply)</t>
  </si>
  <si>
    <t>006-17-000031</t>
  </si>
  <si>
    <t>Providing Aerial bunch cable ACSR Wire Control Switches in Artilary roads in Ward No 06</t>
  </si>
  <si>
    <t>006-19-000001</t>
  </si>
  <si>
    <t>IMPROVEMENTS TO ROADS AND DRAINS AT HEGADENAGARA AND SURROUNDING AREAS IN WARD NO 6 THANISANDRA</t>
  </si>
  <si>
    <t>006-17-000049</t>
  </si>
  <si>
    <t>Consultancy services for preparation of Detailed Survey, Designs, Drawings, Estimate, Bid document, Bill of Quantities for the work of Construction of Samudhaya Bhavan Buildings at Dasarahalli SC colony Mariyannapalya SC Colony, Amruthahalli SC Colony, Kuvempunangara SC colony and Varadarajanagara SC colony in Byatarayanapura Assembly Constituency.</t>
  </si>
  <si>
    <t>Sri.Gopi Reddy.K</t>
  </si>
  <si>
    <t>006-18-000074</t>
  </si>
  <si>
    <t>Development of SWD Drains in ward no 06 Byatarayanapura Sub Division</t>
  </si>
  <si>
    <t>Sri. Raghu A.N.</t>
  </si>
  <si>
    <t>P3297</t>
  </si>
  <si>
    <t>14th Finance Commission Grants - SWD Works</t>
  </si>
  <si>
    <t>006-17-000039</t>
  </si>
  <si>
    <t xml:space="preserve">Improvements of drains and construction of culverts in Hegadenagara Westren side 2nd main and both side Cross road in ward no 06 Byatarayanapura Sub Division </t>
  </si>
  <si>
    <t>P3176</t>
  </si>
  <si>
    <t>Developmental works in Ward No. 82, 06,16,44,70,17,26,13,79,35 ( Rs. 300.00 lakhs per each ward)</t>
  </si>
  <si>
    <t>006-17-000026</t>
  </si>
  <si>
    <t>Consultancy services for project management consultancy for the work of Package-1 a Improvements to playgrounds at Thanisandra Village at Ward No 06 b Improvements to Suvarana Mahotsava Play Ground on Vidyaranyapura Main road at Ward No 09 c Improvements to playgrounds at Ward No 11 Kuvempunagara d Developmental Works to Play ground stadium in Ward No 05 Jakkur e Developmental works to Play ground Stadium Sahakaranagara Ward No 08 Kodigehalli</t>
  </si>
  <si>
    <t>M/s Newzen Consultants</t>
  </si>
  <si>
    <t>006-17-000018</t>
  </si>
  <si>
    <t>Providing and supplying water through water tanker at Hegadenagara area in ward no 06 in Byatarayanapura sub division</t>
  </si>
  <si>
    <t>L Lokesha S/O M Linganna</t>
  </si>
  <si>
    <t>006-17-000030</t>
  </si>
  <si>
    <t>Providing released Tubular Pole along with Street lights to JNRC Circle to Dasarahalli Village lake bund road in Ward No 06</t>
  </si>
  <si>
    <t>M/s Sri Lakshmi Varadaraja Electrical Stores</t>
  </si>
  <si>
    <t>006-17-000034</t>
  </si>
  <si>
    <t>Supplying of Labour and Engaging Tractor, JCB for Emergency work and Desilting of Drains in ward no 06 Byatarayanapura Sub Division</t>
  </si>
  <si>
    <t>006-15-000025</t>
  </si>
  <si>
    <t xml:space="preserve">Improvements to roads and drains at right hand side of Maruthi Layout in ward no 6 Byatarayanapura Sub Division </t>
  </si>
  <si>
    <t>P3075</t>
  </si>
  <si>
    <t>Special comprehensive development works in Bangalore city (Bangalore city in charge Minister Discretionary Grants)</t>
  </si>
  <si>
    <t>July</t>
  </si>
  <si>
    <t>Sir Kiran R</t>
  </si>
  <si>
    <t>006-19-000031</t>
  </si>
  <si>
    <t>Consultancy Services for Preparation of DPR (which includes Survey,Designs,Drawing, Estimate etc.,) and for Project Management Consultancy (Consultancy Services for Construction Supervision,Project Management &amp; Quality Assurance for the works) For Improvements to drains (Concrete drain) and comprehensive development of roads from 12th A cross to 20th R cross at Bhuvaneshwari nagar near coffee board park ward no 06 Byatarayanapura Assembly Constituency (Near coffee board Park).Est cost 200.00 Lakhs</t>
  </si>
  <si>
    <t>006-18-000003</t>
  </si>
  <si>
    <t>Construction of temporary Immersion Tank for Lord Ganesh in ward no 06 Thanisandra Byatarayanapura Sub Division</t>
  </si>
  <si>
    <t>P3155</t>
  </si>
  <si>
    <t>Immerssion of Ganesha Idols</t>
  </si>
  <si>
    <t>006-17-000037</t>
  </si>
  <si>
    <t>Providing and Fixing Sign boards in Hegadenagara ward no 06 Byatarayanapura Sub Division</t>
  </si>
  <si>
    <t>006-17-000040</t>
  </si>
  <si>
    <t>Engaging Tractor and Labours, JCB for Removing over burden debries in Hegadenagara area in ward no 06 Byatarayanapura Sub Division</t>
  </si>
  <si>
    <t>August</t>
  </si>
  <si>
    <t>006-18-000070</t>
  </si>
  <si>
    <t>Providing and Laying UGD works at Hegadenagara in ward no 06 Byatarayanapura Sub Division</t>
  </si>
  <si>
    <t>P3295</t>
  </si>
  <si>
    <t>14th Finance Commission Works - UGD Works</t>
  </si>
  <si>
    <t>Rudraprasad Consultants</t>
  </si>
  <si>
    <t>006-19-000035</t>
  </si>
  <si>
    <t>Restoration of water supply road cut portion done by BWSSB on back to back road restoriation basis at Akashavani layout Dynasty layout Bhuvaneshwarinagara Maruthi layout Bharath Nagara in ward no 6 Byatarayanapura sub divisiion</t>
  </si>
  <si>
    <t>R Satheesh (Sathya Construction)</t>
  </si>
  <si>
    <t>P0613</t>
  </si>
  <si>
    <t>Redoing of Road cut Portions (Deposit Contributions)</t>
  </si>
  <si>
    <t>006-19-000036</t>
  </si>
  <si>
    <t>Restoration of Water supply road cut portion done by BWSSB on back to back road restoriation basis at Amarjyothi layout Ashwathnagara Munikempanna layout SAdiq layout Pathima layout in ward no 6 Byatarayanapura sub divisiion</t>
  </si>
  <si>
    <t>006-19-000038</t>
  </si>
  <si>
    <t>Restoration of UGD road cut portion done by BWSSB on back to back road restoriation basis at Dynasty layout Anjanadri layout Amarjyothi layout Maruthi saimilal in ward no 6 Byatarayanapura sub divisiion</t>
  </si>
  <si>
    <t>006-19-000037</t>
  </si>
  <si>
    <t>Restoration of UGD road cut portion done by BWSSB on back to back road restoriation basis at Akashavani layout Aswathnagara Munikempanna layout Sadiq layout in ward no 6 Byatarayanapura sub divisiion</t>
  </si>
  <si>
    <t>September</t>
  </si>
  <si>
    <t>006-17-000048</t>
  </si>
  <si>
    <t>Providing UGD lines in W N 6</t>
  </si>
  <si>
    <t xml:space="preserve">Executive Engineer, Karnataka Rural Infrastructure development Ltd, </t>
  </si>
  <si>
    <t>P3110</t>
  </si>
  <si>
    <t>14th Finance Commission Grant Works</t>
  </si>
  <si>
    <t>006-19-000007</t>
  </si>
  <si>
    <t>Providing and fixing new accessories to existing borewells in ward no 06 Byatarayanapura Sub Division</t>
  </si>
  <si>
    <t>K R Santhosh Kumar</t>
  </si>
  <si>
    <t>P3293</t>
  </si>
  <si>
    <t>14th Finance Commission Works - Drinking Water</t>
  </si>
  <si>
    <t>006-19-000006</t>
  </si>
  <si>
    <t>Providing and laying pipeline in ward no 06 Byatarayanapura Sub Division</t>
  </si>
  <si>
    <t>006-14-000086</t>
  </si>
  <si>
    <t>Estimate for Drilling of Borewells and providing pump and Motor in ward No 06 Byatarayanapura Sub Division</t>
  </si>
  <si>
    <t>H Gangadhar</t>
  </si>
  <si>
    <t>P1802</t>
  </si>
  <si>
    <t>Water Supply New Areas</t>
  </si>
  <si>
    <t>October</t>
  </si>
  <si>
    <t>November</t>
  </si>
  <si>
    <t>006-18-000058</t>
  </si>
  <si>
    <t xml:space="preserve">Package-2, includes 5 works of Rs.245.00 lakhs 1) Improvements to Roads and Drains at Mariyannapalya Church to Defence Layout and Dynasty Layout in Ward No. 06 Byatarayanapura Sub Division. 2) Improvements to Drains and Asphalting to Roads at Balaji Layout Near Railway Gate in Ward No. 06 Byatarayanapura Sub Division. 3) Improvements to Drains and Asphalting to Roads at Vidyasagara Layout and Surrounding area in Ward No. 06 Byatarayanapura Sub Division 4) Improvements to Drains and Asphalting to Roads at Bharathnagara Saw mill Road in Ward No. 06 Byatarayanapura Sub Division 5) Improvements to Drains and Asphalting to Roads at Shiradi sai Nagara and Hegadenagara in Ward No. 06 Byatarayanapura Sub Division. </t>
  </si>
  <si>
    <t>G Venkatesh</t>
  </si>
  <si>
    <t>December</t>
  </si>
  <si>
    <t>006-18-000066</t>
  </si>
  <si>
    <t>Improvements of Existing Toilets at Hegadenagara in ward no 06 Byatarayanapura Sub Division</t>
  </si>
  <si>
    <t>Executive Engineer Karnataka Rural Infrastructure Development Ltd</t>
  </si>
  <si>
    <t>P3294</t>
  </si>
  <si>
    <t>14th Finance Commission Works - General Public ToiletandSeptage Maintenance</t>
  </si>
  <si>
    <t>006-18-000071</t>
  </si>
  <si>
    <t>Providing and fixing new accessories to existing borewells and laying of pipeline in ward no 06 surrounding area byatarayanapuara sub division</t>
  </si>
  <si>
    <t>P3316</t>
  </si>
  <si>
    <t>Special Development works at ward No.82, 6, 16, 44, 70, 17, 26, 13, 79, 35 Rs.8.00 Cr each</t>
  </si>
  <si>
    <t>006-18-000092</t>
  </si>
  <si>
    <t>Supply of GI Pipes, PVC Cable, Panel Boards, MS Boxes, PVC Pipe and other Necessary accessories to existing Borewells in ward No 06 Surrounding area Byatarayanapura sub division</t>
  </si>
  <si>
    <t>K Shankar Reddy</t>
  </si>
  <si>
    <t>Sri.C VEERAMMA TRANSHEIGHT CONSULTANTS PRIVATE LIMITED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</si>
</sst>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tabSelected="1" workbookViewId="0">
      <selection activeCell="E4" sqref="E4"/>
    </sheetView>
  </sheetViews>
  <sheetFormatPr defaultRowHeight="14.5" x14ac:dyDescent="0.35"/>
  <cols>
    <col min="1" max="1" width="5" bestFit="1" customWidth="1"/>
    <col min="2" max="2" width="8.816406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214</v>
      </c>
      <c r="B2" s="6" t="s">
        <v>28</v>
      </c>
      <c r="C2" s="7">
        <v>43566</v>
      </c>
      <c r="D2" s="8">
        <v>6</v>
      </c>
      <c r="E2" s="9" t="s">
        <v>53</v>
      </c>
      <c r="F2" s="8" t="s">
        <v>54</v>
      </c>
      <c r="G2" s="9" t="s">
        <v>55</v>
      </c>
      <c r="H2" s="8" t="str">
        <f>"000106"</f>
        <v>000106</v>
      </c>
      <c r="I2" s="7">
        <v>43350</v>
      </c>
      <c r="J2" s="8" t="str">
        <f>"000056"</f>
        <v>000056</v>
      </c>
      <c r="K2" s="7">
        <v>43496</v>
      </c>
      <c r="L2" s="8" t="str">
        <f>"000209"</f>
        <v>000209</v>
      </c>
      <c r="M2" s="7">
        <v>43500</v>
      </c>
      <c r="N2" s="8">
        <v>15</v>
      </c>
      <c r="O2" s="8" t="str">
        <f>"000321"</f>
        <v>000321</v>
      </c>
      <c r="P2" s="7">
        <v>43565</v>
      </c>
      <c r="Q2" s="10">
        <v>19.54063</v>
      </c>
      <c r="R2" s="10">
        <v>1.14012</v>
      </c>
      <c r="S2" s="10">
        <v>18.400510000000001</v>
      </c>
      <c r="T2" s="8">
        <v>10</v>
      </c>
      <c r="U2" s="7">
        <v>43566</v>
      </c>
      <c r="V2" s="8">
        <v>9448447182</v>
      </c>
      <c r="W2" s="9" t="s">
        <v>56</v>
      </c>
      <c r="X2" s="8" t="s">
        <v>38</v>
      </c>
      <c r="Y2" s="9" t="s">
        <v>39</v>
      </c>
      <c r="Z2" s="8" t="s">
        <v>49</v>
      </c>
      <c r="AA2" s="9" t="s">
        <v>50</v>
      </c>
      <c r="AB2" s="10">
        <f t="shared" ref="AB2:AB19" si="0">Q2/100</f>
        <v>0.1954063</v>
      </c>
    </row>
    <row r="3" spans="1:28" s="4" customFormat="1" ht="13" x14ac:dyDescent="0.3">
      <c r="A3" s="5">
        <v>215</v>
      </c>
      <c r="B3" s="6" t="s">
        <v>28</v>
      </c>
      <c r="C3" s="7">
        <v>43566</v>
      </c>
      <c r="D3" s="8">
        <v>6</v>
      </c>
      <c r="E3" s="9" t="s">
        <v>53</v>
      </c>
      <c r="F3" s="8" t="s">
        <v>57</v>
      </c>
      <c r="G3" s="9" t="s">
        <v>58</v>
      </c>
      <c r="H3" s="8" t="str">
        <f>"000075"</f>
        <v>000075</v>
      </c>
      <c r="I3" s="7">
        <v>42895</v>
      </c>
      <c r="J3" s="8" t="str">
        <f>"000022"</f>
        <v>000022</v>
      </c>
      <c r="K3" s="7">
        <v>42915</v>
      </c>
      <c r="L3" s="8" t="str">
        <f>"000196"</f>
        <v>000196</v>
      </c>
      <c r="M3" s="7">
        <v>42916</v>
      </c>
      <c r="N3" s="8">
        <v>16</v>
      </c>
      <c r="O3" s="8" t="str">
        <f>"000117"</f>
        <v>000117</v>
      </c>
      <c r="P3" s="7">
        <v>43563</v>
      </c>
      <c r="Q3" s="10">
        <v>15.12467</v>
      </c>
      <c r="R3" s="10">
        <v>0.95286000000000004</v>
      </c>
      <c r="S3" s="10">
        <v>14.171810000000001</v>
      </c>
      <c r="T3" s="8">
        <v>12</v>
      </c>
      <c r="U3" s="7">
        <v>43566</v>
      </c>
      <c r="V3" s="8">
        <v>9980959246</v>
      </c>
      <c r="W3" s="9" t="s">
        <v>59</v>
      </c>
      <c r="X3" s="8" t="s">
        <v>38</v>
      </c>
      <c r="Y3" s="9" t="s">
        <v>39</v>
      </c>
      <c r="Z3" s="8" t="s">
        <v>49</v>
      </c>
      <c r="AA3" s="9" t="s">
        <v>50</v>
      </c>
      <c r="AB3" s="10">
        <f t="shared" si="0"/>
        <v>0.15124670000000001</v>
      </c>
    </row>
    <row r="4" spans="1:28" s="4" customFormat="1" ht="13" x14ac:dyDescent="0.3">
      <c r="A4" s="5">
        <v>216</v>
      </c>
      <c r="B4" s="6" t="s">
        <v>28</v>
      </c>
      <c r="C4" s="7">
        <v>43567</v>
      </c>
      <c r="D4" s="8">
        <v>6</v>
      </c>
      <c r="E4" s="9" t="s">
        <v>53</v>
      </c>
      <c r="F4" s="8" t="s">
        <v>60</v>
      </c>
      <c r="G4" s="9" t="s">
        <v>61</v>
      </c>
      <c r="H4" s="8" t="str">
        <f>"000040"</f>
        <v>000040</v>
      </c>
      <c r="I4" s="7">
        <v>42819</v>
      </c>
      <c r="J4" s="8" t="str">
        <f>"000003"</f>
        <v>000003</v>
      </c>
      <c r="K4" s="7">
        <v>43202</v>
      </c>
      <c r="L4" s="8" t="str">
        <f>"000003"</f>
        <v>000003</v>
      </c>
      <c r="M4" s="7">
        <v>43202</v>
      </c>
      <c r="N4" s="8">
        <v>16</v>
      </c>
      <c r="O4" s="8" t="str">
        <f>"004353"</f>
        <v>004353</v>
      </c>
      <c r="P4" s="7">
        <v>43306</v>
      </c>
      <c r="Q4" s="10">
        <v>7.9027099999999999</v>
      </c>
      <c r="R4" s="10">
        <v>0.77664999999999995</v>
      </c>
      <c r="S4" s="10">
        <v>7.1260599999999998</v>
      </c>
      <c r="T4" s="8">
        <v>17</v>
      </c>
      <c r="U4" s="7">
        <v>43567</v>
      </c>
      <c r="V4" s="8">
        <v>9620096296</v>
      </c>
      <c r="W4" s="9" t="s">
        <v>46</v>
      </c>
      <c r="X4" s="8" t="s">
        <v>29</v>
      </c>
      <c r="Y4" s="9" t="s">
        <v>30</v>
      </c>
      <c r="Z4" s="8" t="s">
        <v>31</v>
      </c>
      <c r="AA4" s="9" t="s">
        <v>32</v>
      </c>
      <c r="AB4" s="10">
        <f t="shared" si="0"/>
        <v>7.9027100000000003E-2</v>
      </c>
    </row>
    <row r="5" spans="1:28" s="4" customFormat="1" ht="13" x14ac:dyDescent="0.3">
      <c r="A5" s="5">
        <v>217</v>
      </c>
      <c r="B5" s="6" t="s">
        <v>28</v>
      </c>
      <c r="C5" s="7">
        <v>43571</v>
      </c>
      <c r="D5" s="8">
        <v>6</v>
      </c>
      <c r="E5" s="9" t="s">
        <v>53</v>
      </c>
      <c r="F5" s="8" t="s">
        <v>62</v>
      </c>
      <c r="G5" s="9" t="s">
        <v>63</v>
      </c>
      <c r="H5" s="8" t="str">
        <f>"000167"</f>
        <v>000167</v>
      </c>
      <c r="I5" s="7">
        <v>43385</v>
      </c>
      <c r="J5" s="8" t="str">
        <f>"000157"</f>
        <v>000157</v>
      </c>
      <c r="K5" s="7">
        <v>43502</v>
      </c>
      <c r="L5" s="8" t="str">
        <f>"000156"</f>
        <v>000156</v>
      </c>
      <c r="M5" s="7">
        <v>43502</v>
      </c>
      <c r="N5" s="8">
        <v>18</v>
      </c>
      <c r="O5" s="8" t="str">
        <f>"000630"</f>
        <v>000630</v>
      </c>
      <c r="P5" s="7">
        <v>43570</v>
      </c>
      <c r="Q5" s="10">
        <v>49.464019999999998</v>
      </c>
      <c r="R5" s="10">
        <v>5.7703199999999999</v>
      </c>
      <c r="S5" s="10">
        <v>43.6937</v>
      </c>
      <c r="T5" s="8">
        <v>18</v>
      </c>
      <c r="U5" s="7">
        <v>43571</v>
      </c>
      <c r="V5" s="8">
        <v>9449863064</v>
      </c>
      <c r="W5" s="9" t="s">
        <v>64</v>
      </c>
      <c r="X5" s="8" t="s">
        <v>33</v>
      </c>
      <c r="Y5" s="9" t="s">
        <v>34</v>
      </c>
      <c r="Z5" s="8" t="s">
        <v>35</v>
      </c>
      <c r="AA5" s="9" t="s">
        <v>36</v>
      </c>
      <c r="AB5" s="10">
        <f t="shared" si="0"/>
        <v>0.49464019999999997</v>
      </c>
    </row>
    <row r="6" spans="1:28" s="4" customFormat="1" ht="13" x14ac:dyDescent="0.3">
      <c r="A6" s="5">
        <v>218</v>
      </c>
      <c r="B6" s="6" t="s">
        <v>28</v>
      </c>
      <c r="C6" s="7">
        <v>43575</v>
      </c>
      <c r="D6" s="8">
        <v>6</v>
      </c>
      <c r="E6" s="9" t="s">
        <v>53</v>
      </c>
      <c r="F6" s="8" t="s">
        <v>60</v>
      </c>
      <c r="G6" s="9" t="s">
        <v>61</v>
      </c>
      <c r="H6" s="8" t="str">
        <f>"000040"</f>
        <v>000040</v>
      </c>
      <c r="I6" s="7">
        <v>42819</v>
      </c>
      <c r="J6" s="8" t="str">
        <f>"000003"</f>
        <v>000003</v>
      </c>
      <c r="K6" s="7">
        <v>43202</v>
      </c>
      <c r="L6" s="8" t="str">
        <f>"000003"</f>
        <v>000003</v>
      </c>
      <c r="M6" s="7">
        <v>43202</v>
      </c>
      <c r="N6" s="8">
        <v>16</v>
      </c>
      <c r="O6" s="8" t="str">
        <f>"004353"</f>
        <v>004353</v>
      </c>
      <c r="P6" s="7">
        <v>43306</v>
      </c>
      <c r="Q6" s="10">
        <v>7.9027099999999999</v>
      </c>
      <c r="R6" s="10">
        <v>0.92576999999999998</v>
      </c>
      <c r="S6" s="10">
        <v>6.9769399999999999</v>
      </c>
      <c r="T6" s="8">
        <v>20</v>
      </c>
      <c r="U6" s="7">
        <v>43575</v>
      </c>
      <c r="V6" s="8">
        <v>9620096296</v>
      </c>
      <c r="W6" s="9" t="s">
        <v>46</v>
      </c>
      <c r="X6" s="8" t="s">
        <v>29</v>
      </c>
      <c r="Y6" s="9" t="s">
        <v>30</v>
      </c>
      <c r="Z6" s="8" t="s">
        <v>31</v>
      </c>
      <c r="AA6" s="9" t="s">
        <v>32</v>
      </c>
      <c r="AB6" s="10">
        <f t="shared" si="0"/>
        <v>7.9027100000000003E-2</v>
      </c>
    </row>
    <row r="7" spans="1:28" s="4" customFormat="1" ht="13" x14ac:dyDescent="0.3">
      <c r="A7" s="5">
        <v>219</v>
      </c>
      <c r="B7" s="6" t="s">
        <v>28</v>
      </c>
      <c r="C7" s="7">
        <v>43579</v>
      </c>
      <c r="D7" s="8">
        <v>6</v>
      </c>
      <c r="E7" s="9" t="s">
        <v>53</v>
      </c>
      <c r="F7" s="8" t="s">
        <v>65</v>
      </c>
      <c r="G7" s="9" t="s">
        <v>66</v>
      </c>
      <c r="H7" s="8" t="str">
        <f>"000113"</f>
        <v>000113</v>
      </c>
      <c r="I7" s="7">
        <v>43179</v>
      </c>
      <c r="J7" s="8" t="str">
        <f>"000052"</f>
        <v>000052</v>
      </c>
      <c r="K7" s="7">
        <v>43488</v>
      </c>
      <c r="L7" s="8" t="str">
        <f>"000197"</f>
        <v>000197</v>
      </c>
      <c r="M7" s="7">
        <v>43488</v>
      </c>
      <c r="N7" s="8">
        <v>18</v>
      </c>
      <c r="O7" s="8" t="str">
        <f>"009113"</f>
        <v>009113</v>
      </c>
      <c r="P7" s="7">
        <v>43502</v>
      </c>
      <c r="Q7" s="10">
        <v>400.71708999999998</v>
      </c>
      <c r="R7" s="10">
        <v>25.939800000000002</v>
      </c>
      <c r="S7" s="10">
        <v>374.77728999999999</v>
      </c>
      <c r="T7" s="8">
        <v>26</v>
      </c>
      <c r="U7" s="7">
        <v>43579</v>
      </c>
      <c r="V7" s="8">
        <v>9945655299</v>
      </c>
      <c r="W7" s="9" t="s">
        <v>67</v>
      </c>
      <c r="X7" s="8" t="s">
        <v>33</v>
      </c>
      <c r="Y7" s="9" t="s">
        <v>34</v>
      </c>
      <c r="Z7" s="8" t="s">
        <v>49</v>
      </c>
      <c r="AA7" s="9" t="s">
        <v>50</v>
      </c>
      <c r="AB7" s="10">
        <f t="shared" si="0"/>
        <v>4.0071709000000002</v>
      </c>
    </row>
    <row r="8" spans="1:28" s="4" customFormat="1" ht="13" x14ac:dyDescent="0.3">
      <c r="A8" s="5">
        <v>220</v>
      </c>
      <c r="B8" s="6" t="s">
        <v>28</v>
      </c>
      <c r="C8" s="7">
        <v>43579</v>
      </c>
      <c r="D8" s="8">
        <v>6</v>
      </c>
      <c r="E8" s="9" t="s">
        <v>53</v>
      </c>
      <c r="F8" s="8" t="s">
        <v>62</v>
      </c>
      <c r="G8" s="9" t="s">
        <v>63</v>
      </c>
      <c r="H8" s="8" t="str">
        <f>"000167"</f>
        <v>000167</v>
      </c>
      <c r="I8" s="7">
        <v>43385</v>
      </c>
      <c r="J8" s="8" t="str">
        <f>"000157"</f>
        <v>000157</v>
      </c>
      <c r="K8" s="7">
        <v>43502</v>
      </c>
      <c r="L8" s="8" t="str">
        <f>"000156"</f>
        <v>000156</v>
      </c>
      <c r="M8" s="7">
        <v>43502</v>
      </c>
      <c r="N8" s="8">
        <v>18</v>
      </c>
      <c r="O8" s="8" t="str">
        <f>"000630"</f>
        <v>000630</v>
      </c>
      <c r="P8" s="7">
        <v>43570</v>
      </c>
      <c r="Q8" s="10">
        <v>2.2999999999999998</v>
      </c>
      <c r="R8" s="10">
        <v>0.23</v>
      </c>
      <c r="S8" s="10">
        <v>2.0699999999999998</v>
      </c>
      <c r="T8" s="8">
        <v>26</v>
      </c>
      <c r="U8" s="7">
        <v>43579</v>
      </c>
      <c r="V8" s="8">
        <v>9448353883</v>
      </c>
      <c r="W8" s="9" t="s">
        <v>68</v>
      </c>
      <c r="X8" s="8" t="s">
        <v>33</v>
      </c>
      <c r="Y8" s="9" t="s">
        <v>34</v>
      </c>
      <c r="Z8" s="8" t="s">
        <v>35</v>
      </c>
      <c r="AA8" s="9" t="s">
        <v>36</v>
      </c>
      <c r="AB8" s="10">
        <f t="shared" si="0"/>
        <v>2.3E-2</v>
      </c>
    </row>
    <row r="9" spans="1:28" s="4" customFormat="1" ht="13" x14ac:dyDescent="0.3">
      <c r="A9" s="5">
        <v>221</v>
      </c>
      <c r="B9" s="6" t="s">
        <v>28</v>
      </c>
      <c r="C9" s="7">
        <v>43579</v>
      </c>
      <c r="D9" s="8">
        <v>6</v>
      </c>
      <c r="E9" s="9" t="s">
        <v>53</v>
      </c>
      <c r="F9" s="8" t="s">
        <v>69</v>
      </c>
      <c r="G9" s="9" t="s">
        <v>70</v>
      </c>
      <c r="H9" s="8" t="str">
        <f>"000168"</f>
        <v>000168</v>
      </c>
      <c r="I9" s="7">
        <v>43385</v>
      </c>
      <c r="J9" s="8" t="str">
        <f>"000179"</f>
        <v>000179</v>
      </c>
      <c r="K9" s="7">
        <v>43542</v>
      </c>
      <c r="L9" s="8" t="str">
        <f>"000179"</f>
        <v>000179</v>
      </c>
      <c r="M9" s="7">
        <v>43542</v>
      </c>
      <c r="N9" s="8">
        <v>18</v>
      </c>
      <c r="O9" s="8" t="str">
        <f>"000899"</f>
        <v>000899</v>
      </c>
      <c r="P9" s="7">
        <v>43578</v>
      </c>
      <c r="Q9" s="10">
        <v>43.52281</v>
      </c>
      <c r="R9" s="10">
        <v>4.4496099999999998</v>
      </c>
      <c r="S9" s="10">
        <v>39.0732</v>
      </c>
      <c r="T9" s="8">
        <v>26</v>
      </c>
      <c r="U9" s="7">
        <v>43579</v>
      </c>
      <c r="V9" s="8">
        <v>9449863064</v>
      </c>
      <c r="W9" s="9" t="s">
        <v>64</v>
      </c>
      <c r="X9" s="8" t="s">
        <v>33</v>
      </c>
      <c r="Y9" s="9" t="s">
        <v>34</v>
      </c>
      <c r="Z9" s="8" t="s">
        <v>35</v>
      </c>
      <c r="AA9" s="9" t="s">
        <v>36</v>
      </c>
      <c r="AB9" s="10">
        <f t="shared" si="0"/>
        <v>0.43522810000000001</v>
      </c>
    </row>
    <row r="10" spans="1:28" s="4" customFormat="1" ht="13" x14ac:dyDescent="0.3">
      <c r="A10" s="5">
        <v>222</v>
      </c>
      <c r="B10" s="6" t="s">
        <v>28</v>
      </c>
      <c r="C10" s="7">
        <v>43580</v>
      </c>
      <c r="D10" s="8">
        <v>6</v>
      </c>
      <c r="E10" s="9" t="s">
        <v>53</v>
      </c>
      <c r="F10" s="8" t="s">
        <v>60</v>
      </c>
      <c r="G10" s="9" t="s">
        <v>61</v>
      </c>
      <c r="H10" s="8" t="str">
        <f>"000040"</f>
        <v>000040</v>
      </c>
      <c r="I10" s="7">
        <v>42819</v>
      </c>
      <c r="J10" s="8" t="str">
        <f>"000003"</f>
        <v>000003</v>
      </c>
      <c r="K10" s="7">
        <v>43202</v>
      </c>
      <c r="L10" s="8" t="str">
        <f>"000003"</f>
        <v>000003</v>
      </c>
      <c r="M10" s="7">
        <v>43202</v>
      </c>
      <c r="N10" s="8">
        <v>16</v>
      </c>
      <c r="O10" s="8" t="str">
        <f>"004353"</f>
        <v>004353</v>
      </c>
      <c r="P10" s="7">
        <v>43306</v>
      </c>
      <c r="Q10" s="10">
        <v>3.9513500000000001</v>
      </c>
      <c r="R10" s="10">
        <v>0.97613000000000005</v>
      </c>
      <c r="S10" s="10">
        <v>2.9752200000000002</v>
      </c>
      <c r="T10" s="8">
        <v>29</v>
      </c>
      <c r="U10" s="7">
        <v>43580</v>
      </c>
      <c r="V10" s="8">
        <v>9620096296</v>
      </c>
      <c r="W10" s="9" t="s">
        <v>46</v>
      </c>
      <c r="X10" s="8" t="s">
        <v>29</v>
      </c>
      <c r="Y10" s="9" t="s">
        <v>30</v>
      </c>
      <c r="Z10" s="8" t="s">
        <v>31</v>
      </c>
      <c r="AA10" s="9" t="s">
        <v>32</v>
      </c>
      <c r="AB10" s="10">
        <f t="shared" si="0"/>
        <v>3.95135E-2</v>
      </c>
    </row>
    <row r="11" spans="1:28" s="4" customFormat="1" ht="13" x14ac:dyDescent="0.3">
      <c r="A11" s="5">
        <v>223</v>
      </c>
      <c r="B11" s="6" t="s">
        <v>42</v>
      </c>
      <c r="C11" s="7">
        <v>43598</v>
      </c>
      <c r="D11" s="8">
        <v>6</v>
      </c>
      <c r="E11" s="9" t="s">
        <v>53</v>
      </c>
      <c r="F11" s="8" t="s">
        <v>90</v>
      </c>
      <c r="G11" s="9" t="s">
        <v>91</v>
      </c>
      <c r="H11" s="8" t="str">
        <f>"000192"</f>
        <v>000192</v>
      </c>
      <c r="I11" s="7">
        <v>43449</v>
      </c>
      <c r="J11" s="8" t="str">
        <f>"000065"</f>
        <v>000065</v>
      </c>
      <c r="K11" s="7">
        <v>43550</v>
      </c>
      <c r="L11" s="8" t="str">
        <f>"000241"</f>
        <v>000241</v>
      </c>
      <c r="M11" s="7">
        <v>43553</v>
      </c>
      <c r="N11" s="8">
        <v>18</v>
      </c>
      <c r="O11" s="8" t="str">
        <f>"001429"</f>
        <v>001429</v>
      </c>
      <c r="P11" s="7">
        <v>43595</v>
      </c>
      <c r="Q11" s="10">
        <v>65.022959999999998</v>
      </c>
      <c r="R11" s="10">
        <v>3.6254900000000001</v>
      </c>
      <c r="S11" s="10">
        <v>61.397469999999998</v>
      </c>
      <c r="T11" s="8">
        <v>41</v>
      </c>
      <c r="U11" s="7">
        <v>43598</v>
      </c>
      <c r="V11" s="8">
        <v>9886726315</v>
      </c>
      <c r="W11" s="9" t="s">
        <v>92</v>
      </c>
      <c r="X11" s="8" t="s">
        <v>93</v>
      </c>
      <c r="Y11" s="9" t="s">
        <v>94</v>
      </c>
      <c r="Z11" s="8" t="s">
        <v>49</v>
      </c>
      <c r="AA11" s="9" t="s">
        <v>50</v>
      </c>
      <c r="AB11" s="10">
        <f t="shared" si="0"/>
        <v>0.65022959999999996</v>
      </c>
    </row>
    <row r="12" spans="1:28" s="4" customFormat="1" ht="13" x14ac:dyDescent="0.3">
      <c r="A12" s="5">
        <v>224</v>
      </c>
      <c r="B12" s="6" t="s">
        <v>42</v>
      </c>
      <c r="C12" s="7">
        <v>43602</v>
      </c>
      <c r="D12" s="8">
        <v>6</v>
      </c>
      <c r="E12" s="9" t="s">
        <v>53</v>
      </c>
      <c r="F12" s="8" t="s">
        <v>95</v>
      </c>
      <c r="G12" s="9" t="s">
        <v>96</v>
      </c>
      <c r="H12" s="8" t="str">
        <f>"000042"</f>
        <v>000042</v>
      </c>
      <c r="I12" s="7">
        <v>42845</v>
      </c>
      <c r="J12" s="8" t="str">
        <f>"000005"</f>
        <v>000005</v>
      </c>
      <c r="K12" s="7">
        <v>42985</v>
      </c>
      <c r="L12" s="8" t="str">
        <f>"000009"</f>
        <v>000009</v>
      </c>
      <c r="M12" s="7">
        <v>42985</v>
      </c>
      <c r="N12" s="8">
        <v>17</v>
      </c>
      <c r="O12" s="8" t="str">
        <f>"001567"</f>
        <v>001567</v>
      </c>
      <c r="P12" s="7">
        <v>43599</v>
      </c>
      <c r="Q12" s="10">
        <v>39.596299999999999</v>
      </c>
      <c r="R12" s="10">
        <v>4.47438</v>
      </c>
      <c r="S12" s="10">
        <v>35.121920000000003</v>
      </c>
      <c r="T12" s="8">
        <v>49</v>
      </c>
      <c r="U12" s="7">
        <v>43602</v>
      </c>
      <c r="V12" s="8">
        <v>9449863065</v>
      </c>
      <c r="W12" s="9" t="s">
        <v>52</v>
      </c>
      <c r="X12" s="8" t="s">
        <v>97</v>
      </c>
      <c r="Y12" s="9" t="s">
        <v>98</v>
      </c>
      <c r="Z12" s="8" t="s">
        <v>49</v>
      </c>
      <c r="AA12" s="9" t="s">
        <v>50</v>
      </c>
      <c r="AB12" s="10">
        <f t="shared" si="0"/>
        <v>0.39596300000000001</v>
      </c>
    </row>
    <row r="13" spans="1:28" s="4" customFormat="1" ht="13" x14ac:dyDescent="0.3">
      <c r="A13" s="5">
        <v>225</v>
      </c>
      <c r="B13" s="6" t="s">
        <v>42</v>
      </c>
      <c r="C13" s="7">
        <v>43606</v>
      </c>
      <c r="D13" s="8">
        <v>6</v>
      </c>
      <c r="E13" s="9" t="s">
        <v>53</v>
      </c>
      <c r="F13" s="8" t="s">
        <v>99</v>
      </c>
      <c r="G13" s="9" t="s">
        <v>100</v>
      </c>
      <c r="H13" s="8" t="str">
        <f>"000129"</f>
        <v>000129</v>
      </c>
      <c r="I13" s="7">
        <v>43556</v>
      </c>
      <c r="J13" s="8" t="str">
        <f>"000006"</f>
        <v>000006</v>
      </c>
      <c r="K13" s="7">
        <v>43567</v>
      </c>
      <c r="L13" s="8" t="str">
        <f>"000006"</f>
        <v>000006</v>
      </c>
      <c r="M13" s="7">
        <v>43567</v>
      </c>
      <c r="N13" s="8">
        <v>17</v>
      </c>
      <c r="O13" s="8" t="str">
        <f>"001655"</f>
        <v>001655</v>
      </c>
      <c r="P13" s="7">
        <v>43601</v>
      </c>
      <c r="Q13" s="10">
        <v>4.7249999999999996</v>
      </c>
      <c r="R13" s="10">
        <v>0.47249999999999998</v>
      </c>
      <c r="S13" s="10">
        <v>4.2525000000000004</v>
      </c>
      <c r="T13" s="8">
        <v>54</v>
      </c>
      <c r="U13" s="7">
        <v>43606</v>
      </c>
      <c r="V13" s="8">
        <v>8792620231</v>
      </c>
      <c r="W13" s="9" t="s">
        <v>101</v>
      </c>
      <c r="X13" s="8" t="s">
        <v>47</v>
      </c>
      <c r="Y13" s="9" t="s">
        <v>48</v>
      </c>
      <c r="Z13" s="8" t="s">
        <v>35</v>
      </c>
      <c r="AA13" s="9" t="s">
        <v>36</v>
      </c>
      <c r="AB13" s="10">
        <f t="shared" si="0"/>
        <v>4.7249999999999993E-2</v>
      </c>
    </row>
    <row r="14" spans="1:28" s="4" customFormat="1" ht="13" x14ac:dyDescent="0.3">
      <c r="A14" s="5">
        <v>226</v>
      </c>
      <c r="B14" s="6" t="s">
        <v>42</v>
      </c>
      <c r="C14" s="7">
        <v>43606</v>
      </c>
      <c r="D14" s="8">
        <v>6</v>
      </c>
      <c r="E14" s="9" t="s">
        <v>53</v>
      </c>
      <c r="F14" s="8" t="s">
        <v>60</v>
      </c>
      <c r="G14" s="9" t="s">
        <v>61</v>
      </c>
      <c r="H14" s="8" t="str">
        <f>"000040"</f>
        <v>000040</v>
      </c>
      <c r="I14" s="7">
        <v>42819</v>
      </c>
      <c r="J14" s="8" t="str">
        <f>"000003"</f>
        <v>000003</v>
      </c>
      <c r="K14" s="7">
        <v>43202</v>
      </c>
      <c r="L14" s="8" t="str">
        <f>"000003"</f>
        <v>000003</v>
      </c>
      <c r="M14" s="7">
        <v>43202</v>
      </c>
      <c r="N14" s="8">
        <v>16</v>
      </c>
      <c r="O14" s="8" t="str">
        <f>"004353"</f>
        <v>004353</v>
      </c>
      <c r="P14" s="7">
        <v>43306</v>
      </c>
      <c r="Q14" s="10">
        <v>10.600720000000001</v>
      </c>
      <c r="R14" s="10">
        <v>1.21898</v>
      </c>
      <c r="S14" s="10">
        <v>9.3817400000000006</v>
      </c>
      <c r="T14" s="8">
        <v>55</v>
      </c>
      <c r="U14" s="7">
        <v>43606</v>
      </c>
      <c r="V14" s="8">
        <v>9620096296</v>
      </c>
      <c r="W14" s="9" t="s">
        <v>46</v>
      </c>
      <c r="X14" s="8" t="s">
        <v>29</v>
      </c>
      <c r="Y14" s="9" t="s">
        <v>30</v>
      </c>
      <c r="Z14" s="8" t="s">
        <v>31</v>
      </c>
      <c r="AA14" s="9" t="s">
        <v>32</v>
      </c>
      <c r="AB14" s="10">
        <f t="shared" si="0"/>
        <v>0.10600720000000001</v>
      </c>
    </row>
    <row r="15" spans="1:28" s="4" customFormat="1" ht="13" x14ac:dyDescent="0.3">
      <c r="A15" s="5">
        <v>227</v>
      </c>
      <c r="B15" s="6" t="s">
        <v>42</v>
      </c>
      <c r="C15" s="7">
        <v>43606</v>
      </c>
      <c r="D15" s="8">
        <v>6</v>
      </c>
      <c r="E15" s="9" t="s">
        <v>53</v>
      </c>
      <c r="F15" s="8" t="s">
        <v>60</v>
      </c>
      <c r="G15" s="9" t="s">
        <v>61</v>
      </c>
      <c r="H15" s="8" t="str">
        <f>"000040"</f>
        <v>000040</v>
      </c>
      <c r="I15" s="7">
        <v>42819</v>
      </c>
      <c r="J15" s="8" t="str">
        <f>"000003"</f>
        <v>000003</v>
      </c>
      <c r="K15" s="7">
        <v>43202</v>
      </c>
      <c r="L15" s="8" t="str">
        <f>"000003"</f>
        <v>000003</v>
      </c>
      <c r="M15" s="7">
        <v>43202</v>
      </c>
      <c r="N15" s="8">
        <v>16</v>
      </c>
      <c r="O15" s="8" t="str">
        <f>"004353"</f>
        <v>004353</v>
      </c>
      <c r="P15" s="7">
        <v>43306</v>
      </c>
      <c r="Q15" s="10">
        <v>16.521170000000001</v>
      </c>
      <c r="R15" s="10">
        <v>1.7984500000000001</v>
      </c>
      <c r="S15" s="10">
        <v>14.722720000000001</v>
      </c>
      <c r="T15" s="8">
        <v>55</v>
      </c>
      <c r="U15" s="7">
        <v>43606</v>
      </c>
      <c r="V15" s="8">
        <v>9620096296</v>
      </c>
      <c r="W15" s="9" t="s">
        <v>46</v>
      </c>
      <c r="X15" s="8" t="s">
        <v>29</v>
      </c>
      <c r="Y15" s="9" t="s">
        <v>30</v>
      </c>
      <c r="Z15" s="8" t="s">
        <v>31</v>
      </c>
      <c r="AA15" s="9" t="s">
        <v>32</v>
      </c>
      <c r="AB15" s="10">
        <f t="shared" si="0"/>
        <v>0.16521170000000002</v>
      </c>
    </row>
    <row r="16" spans="1:28" s="4" customFormat="1" ht="13" x14ac:dyDescent="0.3">
      <c r="A16" s="5">
        <v>228</v>
      </c>
      <c r="B16" s="6" t="s">
        <v>42</v>
      </c>
      <c r="C16" s="7">
        <v>43614</v>
      </c>
      <c r="D16" s="8">
        <v>6</v>
      </c>
      <c r="E16" s="9" t="s">
        <v>53</v>
      </c>
      <c r="F16" s="8" t="s">
        <v>102</v>
      </c>
      <c r="G16" s="9" t="s">
        <v>103</v>
      </c>
      <c r="H16" s="8" t="str">
        <f>"000007"</f>
        <v>000007</v>
      </c>
      <c r="I16" s="7">
        <v>43017</v>
      </c>
      <c r="J16" s="8" t="str">
        <f>"000011"</f>
        <v>000011</v>
      </c>
      <c r="K16" s="7">
        <v>43279</v>
      </c>
      <c r="L16" s="8" t="str">
        <f>"000053"</f>
        <v>000053</v>
      </c>
      <c r="M16" s="7">
        <v>43299</v>
      </c>
      <c r="N16" s="8">
        <v>17</v>
      </c>
      <c r="O16" s="8" t="str">
        <f>"002080"</f>
        <v>002080</v>
      </c>
      <c r="P16" s="7">
        <v>43610</v>
      </c>
      <c r="Q16" s="10">
        <v>9.5936400000000006</v>
      </c>
      <c r="R16" s="10">
        <v>0.20147000000000001</v>
      </c>
      <c r="S16" s="10">
        <v>9.3921700000000001</v>
      </c>
      <c r="T16" s="8">
        <v>64</v>
      </c>
      <c r="U16" s="7">
        <v>43614</v>
      </c>
      <c r="V16" s="8">
        <v>9448339003</v>
      </c>
      <c r="W16" s="9" t="s">
        <v>104</v>
      </c>
      <c r="X16" s="8" t="s">
        <v>38</v>
      </c>
      <c r="Y16" s="9" t="s">
        <v>39</v>
      </c>
      <c r="Z16" s="8" t="s">
        <v>49</v>
      </c>
      <c r="AA16" s="9" t="s">
        <v>50</v>
      </c>
      <c r="AB16" s="10">
        <f t="shared" si="0"/>
        <v>9.5936400000000005E-2</v>
      </c>
    </row>
    <row r="17" spans="1:28" s="4" customFormat="1" ht="13" x14ac:dyDescent="0.3">
      <c r="A17" s="5">
        <v>229</v>
      </c>
      <c r="B17" s="6" t="s">
        <v>42</v>
      </c>
      <c r="C17" s="7">
        <v>43615</v>
      </c>
      <c r="D17" s="8">
        <v>6</v>
      </c>
      <c r="E17" s="9" t="s">
        <v>53</v>
      </c>
      <c r="F17" s="8" t="s">
        <v>105</v>
      </c>
      <c r="G17" s="9" t="s">
        <v>106</v>
      </c>
      <c r="H17" s="8" t="str">
        <f>"000007"</f>
        <v>000007</v>
      </c>
      <c r="I17" s="7">
        <v>43069</v>
      </c>
      <c r="J17" s="8" t="str">
        <f>"000023"</f>
        <v>000023</v>
      </c>
      <c r="K17" s="7">
        <v>43069</v>
      </c>
      <c r="L17" s="8" t="str">
        <f>"000023"</f>
        <v>000023</v>
      </c>
      <c r="M17" s="7">
        <v>43069</v>
      </c>
      <c r="N17" s="8">
        <v>17</v>
      </c>
      <c r="O17" s="8" t="str">
        <f>"002109"</f>
        <v>002109</v>
      </c>
      <c r="P17" s="7">
        <v>43613</v>
      </c>
      <c r="Q17" s="10">
        <v>1.0890899999999999</v>
      </c>
      <c r="R17" s="10">
        <v>4.4650000000000002E-2</v>
      </c>
      <c r="S17" s="10">
        <v>1.04444</v>
      </c>
      <c r="T17" s="8">
        <v>65</v>
      </c>
      <c r="U17" s="7">
        <v>43615</v>
      </c>
      <c r="V17" s="8">
        <v>9341423529</v>
      </c>
      <c r="W17" s="9" t="s">
        <v>107</v>
      </c>
      <c r="X17" s="8" t="s">
        <v>40</v>
      </c>
      <c r="Y17" s="9" t="s">
        <v>41</v>
      </c>
      <c r="Z17" s="8" t="s">
        <v>31</v>
      </c>
      <c r="AA17" s="9" t="s">
        <v>32</v>
      </c>
      <c r="AB17" s="10">
        <f t="shared" si="0"/>
        <v>1.0890899999999998E-2</v>
      </c>
    </row>
    <row r="18" spans="1:28" s="4" customFormat="1" ht="13" x14ac:dyDescent="0.3">
      <c r="A18" s="5">
        <v>230</v>
      </c>
      <c r="B18" s="6" t="s">
        <v>42</v>
      </c>
      <c r="C18" s="7">
        <v>43615</v>
      </c>
      <c r="D18" s="8">
        <v>6</v>
      </c>
      <c r="E18" s="9" t="s">
        <v>53</v>
      </c>
      <c r="F18" s="8" t="s">
        <v>108</v>
      </c>
      <c r="G18" s="9" t="s">
        <v>109</v>
      </c>
      <c r="H18" s="8" t="str">
        <f>"000038"</f>
        <v>000038</v>
      </c>
      <c r="I18" s="7">
        <v>42845</v>
      </c>
      <c r="J18" s="8" t="str">
        <f>"000006"</f>
        <v>000006</v>
      </c>
      <c r="K18" s="7">
        <v>42985</v>
      </c>
      <c r="L18" s="8" t="str">
        <f>"000010"</f>
        <v>000010</v>
      </c>
      <c r="M18" s="7">
        <v>42985</v>
      </c>
      <c r="N18" s="8">
        <v>17</v>
      </c>
      <c r="O18" s="8" t="str">
        <f>"002137"</f>
        <v>002137</v>
      </c>
      <c r="P18" s="7">
        <v>43613</v>
      </c>
      <c r="Q18" s="10">
        <v>29.977160000000001</v>
      </c>
      <c r="R18" s="10">
        <v>1.5288299999999999</v>
      </c>
      <c r="S18" s="10">
        <v>28.448329999999999</v>
      </c>
      <c r="T18" s="8">
        <v>65</v>
      </c>
      <c r="U18" s="7">
        <v>43615</v>
      </c>
      <c r="V18" s="8">
        <v>9449863065</v>
      </c>
      <c r="W18" s="9" t="s">
        <v>52</v>
      </c>
      <c r="X18" s="8" t="s">
        <v>97</v>
      </c>
      <c r="Y18" s="9" t="s">
        <v>98</v>
      </c>
      <c r="Z18" s="8" t="s">
        <v>49</v>
      </c>
      <c r="AA18" s="9" t="s">
        <v>50</v>
      </c>
      <c r="AB18" s="10">
        <f t="shared" si="0"/>
        <v>0.29977160000000003</v>
      </c>
    </row>
    <row r="19" spans="1:28" s="4" customFormat="1" ht="13" x14ac:dyDescent="0.3">
      <c r="A19" s="5">
        <v>231</v>
      </c>
      <c r="B19" s="6" t="s">
        <v>42</v>
      </c>
      <c r="C19" s="7">
        <v>43615</v>
      </c>
      <c r="D19" s="8">
        <v>6</v>
      </c>
      <c r="E19" s="9" t="s">
        <v>53</v>
      </c>
      <c r="F19" s="8" t="s">
        <v>110</v>
      </c>
      <c r="G19" s="9" t="s">
        <v>111</v>
      </c>
      <c r="H19" s="8" t="str">
        <f>"000020"</f>
        <v>000020</v>
      </c>
      <c r="I19" s="7">
        <v>42490</v>
      </c>
      <c r="J19" s="8" t="str">
        <f>"000019"</f>
        <v>000019</v>
      </c>
      <c r="K19" s="7">
        <v>43054</v>
      </c>
      <c r="L19" s="8" t="str">
        <f>"000047"</f>
        <v>000047</v>
      </c>
      <c r="M19" s="7">
        <v>43054</v>
      </c>
      <c r="N19" s="8">
        <v>15</v>
      </c>
      <c r="O19" s="8" t="str">
        <f>"002180"</f>
        <v>002180</v>
      </c>
      <c r="P19" s="7">
        <v>43613</v>
      </c>
      <c r="Q19" s="10">
        <v>28.187280000000001</v>
      </c>
      <c r="R19" s="10">
        <v>2.1771099999999999</v>
      </c>
      <c r="S19" s="10">
        <v>26.010169999999999</v>
      </c>
      <c r="T19" s="8">
        <v>65</v>
      </c>
      <c r="U19" s="7">
        <v>43615</v>
      </c>
      <c r="V19" s="8">
        <v>9448447181</v>
      </c>
      <c r="W19" s="9" t="s">
        <v>56</v>
      </c>
      <c r="X19" s="8" t="s">
        <v>112</v>
      </c>
      <c r="Y19" s="9" t="s">
        <v>113</v>
      </c>
      <c r="Z19" s="8" t="s">
        <v>49</v>
      </c>
      <c r="AA19" s="9" t="s">
        <v>50</v>
      </c>
      <c r="AB19" s="10">
        <f t="shared" si="0"/>
        <v>0.28187280000000003</v>
      </c>
    </row>
    <row r="20" spans="1:28" s="4" customFormat="1" ht="13" x14ac:dyDescent="0.3">
      <c r="A20" s="5">
        <v>232</v>
      </c>
      <c r="B20" s="6" t="s">
        <v>37</v>
      </c>
      <c r="C20" s="7">
        <v>43617</v>
      </c>
      <c r="D20" s="8">
        <v>6</v>
      </c>
      <c r="E20" s="9" t="s">
        <v>53</v>
      </c>
      <c r="F20" s="8" t="s">
        <v>71</v>
      </c>
      <c r="G20" s="9" t="s">
        <v>72</v>
      </c>
      <c r="H20" s="8" t="str">
        <f>"000015"</f>
        <v>000015</v>
      </c>
      <c r="I20" s="7">
        <v>43302</v>
      </c>
      <c r="J20" s="8" t="str">
        <f>"000115"</f>
        <v>000115</v>
      </c>
      <c r="K20" s="7">
        <v>43552</v>
      </c>
      <c r="L20" s="8" t="str">
        <f>"000151"</f>
        <v>000151</v>
      </c>
      <c r="M20" s="7">
        <v>43552</v>
      </c>
      <c r="N20" s="8">
        <v>18</v>
      </c>
      <c r="O20" s="8" t="str">
        <f>"002260"</f>
        <v>002260</v>
      </c>
      <c r="P20" s="7">
        <v>43614</v>
      </c>
      <c r="Q20" s="10">
        <v>9.9966799999999996</v>
      </c>
      <c r="R20" s="10">
        <v>1.23817</v>
      </c>
      <c r="S20" s="10">
        <v>8.7585099999999994</v>
      </c>
      <c r="T20" s="8">
        <v>69</v>
      </c>
      <c r="U20" s="7">
        <v>43617</v>
      </c>
      <c r="V20" s="8">
        <v>9620981703</v>
      </c>
      <c r="W20" s="9" t="s">
        <v>51</v>
      </c>
      <c r="X20" s="8" t="s">
        <v>73</v>
      </c>
      <c r="Y20" s="9" t="s">
        <v>74</v>
      </c>
      <c r="Z20" s="8" t="s">
        <v>31</v>
      </c>
      <c r="AA20" s="9" t="s">
        <v>32</v>
      </c>
      <c r="AB20" s="10">
        <v>9.9966799999999995E-2</v>
      </c>
    </row>
    <row r="21" spans="1:28" s="4" customFormat="1" ht="13" x14ac:dyDescent="0.3">
      <c r="A21" s="5">
        <v>233</v>
      </c>
      <c r="B21" s="6" t="s">
        <v>37</v>
      </c>
      <c r="C21" s="7">
        <v>43629</v>
      </c>
      <c r="D21" s="8">
        <v>6</v>
      </c>
      <c r="E21" s="9" t="s">
        <v>53</v>
      </c>
      <c r="F21" s="8" t="s">
        <v>75</v>
      </c>
      <c r="G21" s="9" t="s">
        <v>76</v>
      </c>
      <c r="H21" s="8" t="str">
        <f>"000051"</f>
        <v>000051</v>
      </c>
      <c r="I21" s="7">
        <v>43302</v>
      </c>
      <c r="J21" s="8" t="str">
        <f>"000011"</f>
        <v>000011</v>
      </c>
      <c r="K21" s="7">
        <v>43644</v>
      </c>
      <c r="L21" s="8" t="str">
        <f>"000048"</f>
        <v>000048</v>
      </c>
      <c r="M21" s="7">
        <v>43644</v>
      </c>
      <c r="N21" s="8">
        <v>18</v>
      </c>
      <c r="O21" s="8" t="str">
        <f>""</f>
        <v/>
      </c>
      <c r="P21" s="7"/>
      <c r="Q21" s="10">
        <v>48.245690000000003</v>
      </c>
      <c r="R21" s="10">
        <v>2.6106099999999999</v>
      </c>
      <c r="S21" s="10">
        <v>45.635080000000002</v>
      </c>
      <c r="T21" s="8">
        <v>81</v>
      </c>
      <c r="U21" s="7">
        <v>43629</v>
      </c>
      <c r="V21" s="8">
        <v>9448579451</v>
      </c>
      <c r="W21" s="9" t="s">
        <v>77</v>
      </c>
      <c r="X21" s="8" t="s">
        <v>78</v>
      </c>
      <c r="Y21" s="9" t="s">
        <v>79</v>
      </c>
      <c r="Z21" s="8" t="s">
        <v>49</v>
      </c>
      <c r="AA21" s="9" t="s">
        <v>50</v>
      </c>
      <c r="AB21" s="10">
        <v>0.48245690000000002</v>
      </c>
    </row>
    <row r="22" spans="1:28" s="4" customFormat="1" ht="13" x14ac:dyDescent="0.3">
      <c r="A22" s="5">
        <v>234</v>
      </c>
      <c r="B22" s="6" t="s">
        <v>37</v>
      </c>
      <c r="C22" s="7">
        <v>43633</v>
      </c>
      <c r="D22" s="8">
        <v>6</v>
      </c>
      <c r="E22" s="9" t="s">
        <v>53</v>
      </c>
      <c r="F22" s="8" t="s">
        <v>80</v>
      </c>
      <c r="G22" s="9" t="s">
        <v>81</v>
      </c>
      <c r="H22" s="8" t="str">
        <f>"000132"</f>
        <v>000132</v>
      </c>
      <c r="I22" s="7">
        <v>43580</v>
      </c>
      <c r="J22" s="8" t="str">
        <f>"000010"</f>
        <v>000010</v>
      </c>
      <c r="K22" s="7">
        <v>43580</v>
      </c>
      <c r="L22" s="8" t="str">
        <f>"000010"</f>
        <v>000010</v>
      </c>
      <c r="M22" s="7">
        <v>43580</v>
      </c>
      <c r="N22" s="8">
        <v>17</v>
      </c>
      <c r="O22" s="8" t="str">
        <f>"002702"</f>
        <v>002702</v>
      </c>
      <c r="P22" s="7">
        <v>43629</v>
      </c>
      <c r="Q22" s="10">
        <v>5.23874</v>
      </c>
      <c r="R22" s="10">
        <v>0.25646999999999998</v>
      </c>
      <c r="S22" s="10">
        <v>4.9822699999999998</v>
      </c>
      <c r="T22" s="8">
        <v>87</v>
      </c>
      <c r="U22" s="7">
        <v>43633</v>
      </c>
      <c r="V22" s="8">
        <v>9880690590</v>
      </c>
      <c r="W22" s="9" t="s">
        <v>82</v>
      </c>
      <c r="X22" s="8" t="s">
        <v>33</v>
      </c>
      <c r="Y22" s="9" t="s">
        <v>34</v>
      </c>
      <c r="Z22" s="8" t="s">
        <v>35</v>
      </c>
      <c r="AA22" s="9" t="s">
        <v>36</v>
      </c>
      <c r="AB22" s="10">
        <v>5.2387400000000001E-2</v>
      </c>
    </row>
    <row r="23" spans="1:28" s="4" customFormat="1" ht="13" x14ac:dyDescent="0.3">
      <c r="A23" s="5">
        <v>235</v>
      </c>
      <c r="B23" s="6" t="s">
        <v>37</v>
      </c>
      <c r="C23" s="7">
        <v>43636</v>
      </c>
      <c r="D23" s="8">
        <v>6</v>
      </c>
      <c r="E23" s="9" t="s">
        <v>53</v>
      </c>
      <c r="F23" s="8" t="s">
        <v>83</v>
      </c>
      <c r="G23" s="9" t="s">
        <v>84</v>
      </c>
      <c r="H23" s="8" t="str">
        <f>"000010"</f>
        <v>000010</v>
      </c>
      <c r="I23" s="7">
        <v>43069</v>
      </c>
      <c r="J23" s="8" t="str">
        <f>"000026"</f>
        <v>000026</v>
      </c>
      <c r="K23" s="7">
        <v>43069</v>
      </c>
      <c r="L23" s="8" t="str">
        <f>"000026"</f>
        <v>000026</v>
      </c>
      <c r="M23" s="7">
        <v>43069</v>
      </c>
      <c r="N23" s="8">
        <v>17</v>
      </c>
      <c r="O23" s="8" t="str">
        <f>"002780"</f>
        <v>002780</v>
      </c>
      <c r="P23" s="7">
        <v>43633</v>
      </c>
      <c r="Q23" s="10">
        <v>1.548</v>
      </c>
      <c r="R23" s="10">
        <v>7.8469999999999998E-2</v>
      </c>
      <c r="S23" s="10">
        <v>1.46953</v>
      </c>
      <c r="T23" s="8">
        <v>89</v>
      </c>
      <c r="U23" s="7">
        <v>43636</v>
      </c>
      <c r="V23" s="8">
        <v>9341423529</v>
      </c>
      <c r="W23" s="9" t="s">
        <v>43</v>
      </c>
      <c r="X23" s="8" t="s">
        <v>40</v>
      </c>
      <c r="Y23" s="9" t="s">
        <v>41</v>
      </c>
      <c r="Z23" s="8" t="s">
        <v>31</v>
      </c>
      <c r="AA23" s="9" t="s">
        <v>32</v>
      </c>
      <c r="AB23" s="10">
        <v>1.5480000000000001E-2</v>
      </c>
    </row>
    <row r="24" spans="1:28" s="4" customFormat="1" ht="13" x14ac:dyDescent="0.3">
      <c r="A24" s="5">
        <v>236</v>
      </c>
      <c r="B24" s="6" t="s">
        <v>37</v>
      </c>
      <c r="C24" s="7">
        <v>43636</v>
      </c>
      <c r="D24" s="8">
        <v>6</v>
      </c>
      <c r="E24" s="9" t="s">
        <v>53</v>
      </c>
      <c r="F24" s="8" t="s">
        <v>85</v>
      </c>
      <c r="G24" s="9" t="s">
        <v>86</v>
      </c>
      <c r="H24" s="8" t="str">
        <f>"000025"</f>
        <v>000025</v>
      </c>
      <c r="I24" s="7">
        <v>43489</v>
      </c>
      <c r="J24" s="8" t="str">
        <f>"000185"</f>
        <v>000185</v>
      </c>
      <c r="K24" s="7">
        <v>43554</v>
      </c>
      <c r="L24" s="8" t="str">
        <f>"000185"</f>
        <v>000185</v>
      </c>
      <c r="M24" s="7">
        <v>43554</v>
      </c>
      <c r="N24" s="8">
        <v>19</v>
      </c>
      <c r="O24" s="8" t="str">
        <f>"002803"</f>
        <v>002803</v>
      </c>
      <c r="P24" s="7">
        <v>43633</v>
      </c>
      <c r="Q24" s="10">
        <v>146.99581000000001</v>
      </c>
      <c r="R24" s="10">
        <v>15.39161</v>
      </c>
      <c r="S24" s="10">
        <v>131.60419999999999</v>
      </c>
      <c r="T24" s="8">
        <v>90</v>
      </c>
      <c r="U24" s="7">
        <v>43636</v>
      </c>
      <c r="V24" s="8">
        <v>9449863064</v>
      </c>
      <c r="W24" s="9" t="s">
        <v>64</v>
      </c>
      <c r="X24" s="8" t="s">
        <v>45</v>
      </c>
      <c r="Y24" s="9" t="s">
        <v>44</v>
      </c>
      <c r="Z24" s="8" t="s">
        <v>35</v>
      </c>
      <c r="AA24" s="9" t="s">
        <v>36</v>
      </c>
      <c r="AB24" s="10">
        <v>1.4699581000000002</v>
      </c>
    </row>
    <row r="25" spans="1:28" s="4" customFormat="1" ht="13" x14ac:dyDescent="0.3">
      <c r="A25" s="5">
        <v>237</v>
      </c>
      <c r="B25" s="6" t="s">
        <v>37</v>
      </c>
      <c r="C25" s="7">
        <v>43640</v>
      </c>
      <c r="D25" s="8">
        <v>6</v>
      </c>
      <c r="E25" s="9" t="s">
        <v>53</v>
      </c>
      <c r="F25" s="8" t="s">
        <v>87</v>
      </c>
      <c r="G25" s="9" t="s">
        <v>88</v>
      </c>
      <c r="H25" s="8" t="str">
        <f>"000011"</f>
        <v>000011</v>
      </c>
      <c r="I25" s="7">
        <v>42891</v>
      </c>
      <c r="J25" s="8" t="str">
        <f>"000001"</f>
        <v>000001</v>
      </c>
      <c r="K25" s="7">
        <v>43011</v>
      </c>
      <c r="L25" s="8" t="str">
        <f>"000005"</f>
        <v>000005</v>
      </c>
      <c r="M25" s="7">
        <v>43011</v>
      </c>
      <c r="N25" s="8">
        <v>17</v>
      </c>
      <c r="O25" s="8" t="str">
        <f>"009031"</f>
        <v>009031</v>
      </c>
      <c r="P25" s="7">
        <v>43117</v>
      </c>
      <c r="Q25" s="10">
        <v>52.34901</v>
      </c>
      <c r="R25" s="10">
        <v>2.3725900000000002</v>
      </c>
      <c r="S25" s="10">
        <v>49.976419999999997</v>
      </c>
      <c r="T25" s="8">
        <v>92</v>
      </c>
      <c r="U25" s="7">
        <v>43640</v>
      </c>
      <c r="V25" s="8">
        <v>7760405418</v>
      </c>
      <c r="W25" s="9" t="s">
        <v>89</v>
      </c>
      <c r="X25" s="8" t="s">
        <v>47</v>
      </c>
      <c r="Y25" s="9" t="s">
        <v>48</v>
      </c>
      <c r="Z25" s="8" t="s">
        <v>35</v>
      </c>
      <c r="AA25" s="9" t="s">
        <v>36</v>
      </c>
      <c r="AB25" s="10">
        <v>0.52349009999999996</v>
      </c>
    </row>
    <row r="26" spans="1:28" s="4" customFormat="1" ht="13" x14ac:dyDescent="0.3">
      <c r="A26" s="5">
        <v>238</v>
      </c>
      <c r="B26" s="6" t="s">
        <v>114</v>
      </c>
      <c r="C26" s="7">
        <v>43658</v>
      </c>
      <c r="D26" s="8">
        <v>6</v>
      </c>
      <c r="E26" s="9" t="s">
        <v>53</v>
      </c>
      <c r="F26" s="8" t="s">
        <v>85</v>
      </c>
      <c r="G26" s="11" t="s">
        <v>86</v>
      </c>
      <c r="H26" s="8" t="str">
        <f>"000025"</f>
        <v>000025</v>
      </c>
      <c r="I26" s="7">
        <v>43489</v>
      </c>
      <c r="J26" s="8" t="str">
        <f>"000185"</f>
        <v>000185</v>
      </c>
      <c r="K26" s="7">
        <v>43554</v>
      </c>
      <c r="L26" s="8" t="str">
        <f>"000185"</f>
        <v>000185</v>
      </c>
      <c r="M26" s="7">
        <v>43554</v>
      </c>
      <c r="N26" s="8">
        <v>19</v>
      </c>
      <c r="O26" s="8" t="str">
        <f>"002803"</f>
        <v>002803</v>
      </c>
      <c r="P26" s="7">
        <v>43633</v>
      </c>
      <c r="Q26" s="12">
        <v>1.46</v>
      </c>
      <c r="R26" s="12">
        <v>0.14599999999999999</v>
      </c>
      <c r="S26" s="12">
        <v>1.3140000000000001</v>
      </c>
      <c r="T26" s="8">
        <v>112</v>
      </c>
      <c r="U26" s="7">
        <v>43658</v>
      </c>
      <c r="V26" s="8">
        <v>9448353883</v>
      </c>
      <c r="W26" s="11" t="s">
        <v>115</v>
      </c>
      <c r="X26" s="8" t="s">
        <v>45</v>
      </c>
      <c r="Y26" s="11" t="s">
        <v>44</v>
      </c>
      <c r="Z26" s="8" t="s">
        <v>35</v>
      </c>
      <c r="AA26" s="11" t="s">
        <v>36</v>
      </c>
      <c r="AB26" s="12">
        <f t="shared" ref="AB26:AB40" si="1">Q26/100</f>
        <v>1.46E-2</v>
      </c>
    </row>
    <row r="27" spans="1:28" s="4" customFormat="1" ht="13" x14ac:dyDescent="0.3">
      <c r="A27" s="5">
        <v>239</v>
      </c>
      <c r="B27" s="6" t="s">
        <v>114</v>
      </c>
      <c r="C27" s="7">
        <v>43668</v>
      </c>
      <c r="D27" s="8">
        <v>6</v>
      </c>
      <c r="E27" s="9" t="s">
        <v>53</v>
      </c>
      <c r="F27" s="8" t="s">
        <v>116</v>
      </c>
      <c r="G27" s="11" t="s">
        <v>117</v>
      </c>
      <c r="H27" s="8" t="str">
        <f>"000234"</f>
        <v>000234</v>
      </c>
      <c r="I27" s="7">
        <v>43523</v>
      </c>
      <c r="J27" s="8" t="str">
        <f>"000024"</f>
        <v>000024</v>
      </c>
      <c r="K27" s="7">
        <v>43685</v>
      </c>
      <c r="L27" s="8" t="str">
        <f>"000124"</f>
        <v>000124</v>
      </c>
      <c r="M27" s="7">
        <v>43747</v>
      </c>
      <c r="N27" s="8">
        <v>19</v>
      </c>
      <c r="O27" s="8" t="str">
        <f>""</f>
        <v/>
      </c>
      <c r="P27" s="8"/>
      <c r="Q27" s="12">
        <v>173.32131000000001</v>
      </c>
      <c r="R27" s="12">
        <v>18.669360000000001</v>
      </c>
      <c r="S27" s="12">
        <v>154.65195</v>
      </c>
      <c r="T27" s="8">
        <v>120</v>
      </c>
      <c r="U27" s="7">
        <v>43668</v>
      </c>
      <c r="V27" s="8">
        <v>9342471293</v>
      </c>
      <c r="W27" s="11" t="s">
        <v>52</v>
      </c>
      <c r="X27" s="8" t="s">
        <v>33</v>
      </c>
      <c r="Y27" s="11" t="s">
        <v>34</v>
      </c>
      <c r="Z27" s="8" t="s">
        <v>49</v>
      </c>
      <c r="AA27" s="11" t="s">
        <v>50</v>
      </c>
      <c r="AB27" s="12">
        <f t="shared" si="1"/>
        <v>1.7332131000000002</v>
      </c>
    </row>
    <row r="28" spans="1:28" s="4" customFormat="1" ht="13" x14ac:dyDescent="0.3">
      <c r="A28" s="5">
        <v>240</v>
      </c>
      <c r="B28" s="6" t="s">
        <v>114</v>
      </c>
      <c r="C28" s="7">
        <v>43669</v>
      </c>
      <c r="D28" s="8">
        <v>6</v>
      </c>
      <c r="E28" s="9" t="s">
        <v>53</v>
      </c>
      <c r="F28" s="8" t="s">
        <v>118</v>
      </c>
      <c r="G28" s="11" t="s">
        <v>119</v>
      </c>
      <c r="H28" s="8" t="str">
        <f>"000057"</f>
        <v>000057</v>
      </c>
      <c r="I28" s="7">
        <v>43118</v>
      </c>
      <c r="J28" s="8" t="str">
        <f>"000034"</f>
        <v>000034</v>
      </c>
      <c r="K28" s="7">
        <v>43136</v>
      </c>
      <c r="L28" s="8" t="str">
        <f>"000101"</f>
        <v>000101</v>
      </c>
      <c r="M28" s="7">
        <v>43139</v>
      </c>
      <c r="N28" s="8">
        <v>18</v>
      </c>
      <c r="O28" s="8" t="str">
        <f>"003678"</f>
        <v>003678</v>
      </c>
      <c r="P28" s="7">
        <v>43664</v>
      </c>
      <c r="Q28" s="12">
        <v>8.9835600000000007</v>
      </c>
      <c r="R28" s="12">
        <v>0.74563999999999997</v>
      </c>
      <c r="S28" s="12">
        <v>8.2379200000000008</v>
      </c>
      <c r="T28" s="8">
        <v>122</v>
      </c>
      <c r="U28" s="7">
        <v>43669</v>
      </c>
      <c r="V28" s="8">
        <v>9449863065</v>
      </c>
      <c r="W28" s="11" t="s">
        <v>52</v>
      </c>
      <c r="X28" s="8" t="s">
        <v>120</v>
      </c>
      <c r="Y28" s="11" t="s">
        <v>121</v>
      </c>
      <c r="Z28" s="8" t="s">
        <v>49</v>
      </c>
      <c r="AA28" s="11" t="s">
        <v>50</v>
      </c>
      <c r="AB28" s="12">
        <f t="shared" si="1"/>
        <v>8.9835600000000002E-2</v>
      </c>
    </row>
    <row r="29" spans="1:28" s="4" customFormat="1" ht="13" x14ac:dyDescent="0.3">
      <c r="A29" s="5">
        <v>241</v>
      </c>
      <c r="B29" s="6" t="s">
        <v>114</v>
      </c>
      <c r="C29" s="7">
        <v>43669</v>
      </c>
      <c r="D29" s="8">
        <v>6</v>
      </c>
      <c r="E29" s="9" t="s">
        <v>53</v>
      </c>
      <c r="F29" s="8" t="s">
        <v>122</v>
      </c>
      <c r="G29" s="11" t="s">
        <v>123</v>
      </c>
      <c r="H29" s="8" t="str">
        <f>"000045"</f>
        <v>000045</v>
      </c>
      <c r="I29" s="7">
        <v>42849</v>
      </c>
      <c r="J29" s="8" t="str">
        <f>"000035"</f>
        <v>000035</v>
      </c>
      <c r="K29" s="7">
        <v>43147</v>
      </c>
      <c r="L29" s="8" t="str">
        <f>"000103"</f>
        <v>000103</v>
      </c>
      <c r="M29" s="7">
        <v>43147</v>
      </c>
      <c r="N29" s="8">
        <v>17</v>
      </c>
      <c r="O29" s="8" t="str">
        <f>"003688"</f>
        <v>003688</v>
      </c>
      <c r="P29" s="7">
        <v>43664</v>
      </c>
      <c r="Q29" s="12">
        <v>19.953569999999999</v>
      </c>
      <c r="R29" s="12">
        <v>2.6737799999999998</v>
      </c>
      <c r="S29" s="12">
        <v>17.279789999999998</v>
      </c>
      <c r="T29" s="8">
        <v>122</v>
      </c>
      <c r="U29" s="7">
        <v>43669</v>
      </c>
      <c r="V29" s="8">
        <v>9449863065</v>
      </c>
      <c r="W29" s="11" t="s">
        <v>52</v>
      </c>
      <c r="X29" s="8" t="s">
        <v>97</v>
      </c>
      <c r="Y29" s="11" t="s">
        <v>98</v>
      </c>
      <c r="Z29" s="8" t="s">
        <v>49</v>
      </c>
      <c r="AA29" s="11" t="s">
        <v>50</v>
      </c>
      <c r="AB29" s="12">
        <f t="shared" si="1"/>
        <v>0.19953569999999998</v>
      </c>
    </row>
    <row r="30" spans="1:28" s="4" customFormat="1" ht="13" x14ac:dyDescent="0.3">
      <c r="A30" s="5">
        <v>242</v>
      </c>
      <c r="B30" s="6" t="s">
        <v>114</v>
      </c>
      <c r="C30" s="7">
        <v>43669</v>
      </c>
      <c r="D30" s="8">
        <v>6</v>
      </c>
      <c r="E30" s="9" t="s">
        <v>53</v>
      </c>
      <c r="F30" s="8" t="s">
        <v>124</v>
      </c>
      <c r="G30" s="11" t="s">
        <v>125</v>
      </c>
      <c r="H30" s="8" t="str">
        <f>"000046"</f>
        <v>000046</v>
      </c>
      <c r="I30" s="7">
        <v>42849</v>
      </c>
      <c r="J30" s="8" t="str">
        <f>"000036"</f>
        <v>000036</v>
      </c>
      <c r="K30" s="7">
        <v>43147</v>
      </c>
      <c r="L30" s="8" t="str">
        <f>"000107"</f>
        <v>000107</v>
      </c>
      <c r="M30" s="7">
        <v>43150</v>
      </c>
      <c r="N30" s="8">
        <v>17</v>
      </c>
      <c r="O30" s="8" t="str">
        <f>"003690"</f>
        <v>003690</v>
      </c>
      <c r="P30" s="7">
        <v>43664</v>
      </c>
      <c r="Q30" s="12">
        <v>19.98873</v>
      </c>
      <c r="R30" s="12">
        <v>1.66709</v>
      </c>
      <c r="S30" s="12">
        <v>18.321639999999999</v>
      </c>
      <c r="T30" s="8">
        <v>122</v>
      </c>
      <c r="U30" s="7">
        <v>43669</v>
      </c>
      <c r="V30" s="8">
        <v>9449863065</v>
      </c>
      <c r="W30" s="11" t="s">
        <v>52</v>
      </c>
      <c r="X30" s="8" t="s">
        <v>97</v>
      </c>
      <c r="Y30" s="11" t="s">
        <v>98</v>
      </c>
      <c r="Z30" s="8" t="s">
        <v>49</v>
      </c>
      <c r="AA30" s="11" t="s">
        <v>50</v>
      </c>
      <c r="AB30" s="12">
        <f t="shared" si="1"/>
        <v>0.19988729999999999</v>
      </c>
    </row>
    <row r="31" spans="1:28" s="4" customFormat="1" ht="13" x14ac:dyDescent="0.3">
      <c r="A31" s="5">
        <v>243</v>
      </c>
      <c r="B31" s="6" t="s">
        <v>126</v>
      </c>
      <c r="C31" s="7">
        <v>43693</v>
      </c>
      <c r="D31" s="8">
        <v>6</v>
      </c>
      <c r="E31" s="9" t="s">
        <v>53</v>
      </c>
      <c r="F31" s="8" t="s">
        <v>127</v>
      </c>
      <c r="G31" s="11" t="s">
        <v>128</v>
      </c>
      <c r="H31" s="8" t="str">
        <f>"000075"</f>
        <v>000075</v>
      </c>
      <c r="I31" s="7">
        <v>43308</v>
      </c>
      <c r="J31" s="8" t="str">
        <f>"000054"</f>
        <v>000054</v>
      </c>
      <c r="K31" s="7">
        <v>43490</v>
      </c>
      <c r="L31" s="8" t="str">
        <f>"000210"</f>
        <v>000210</v>
      </c>
      <c r="M31" s="7">
        <v>43500</v>
      </c>
      <c r="N31" s="8">
        <v>18</v>
      </c>
      <c r="O31" s="8" t="str">
        <f>"004220"</f>
        <v>004220</v>
      </c>
      <c r="P31" s="7">
        <v>43679</v>
      </c>
      <c r="Q31" s="12">
        <v>14.98728</v>
      </c>
      <c r="R31" s="12">
        <v>1.66448</v>
      </c>
      <c r="S31" s="12">
        <v>13.322800000000001</v>
      </c>
      <c r="T31" s="8">
        <v>155</v>
      </c>
      <c r="U31" s="7">
        <v>43693</v>
      </c>
      <c r="V31" s="8">
        <v>9972424626</v>
      </c>
      <c r="W31" s="11" t="s">
        <v>52</v>
      </c>
      <c r="X31" s="8" t="s">
        <v>129</v>
      </c>
      <c r="Y31" s="11" t="s">
        <v>130</v>
      </c>
      <c r="Z31" s="8" t="s">
        <v>49</v>
      </c>
      <c r="AA31" s="11" t="s">
        <v>50</v>
      </c>
      <c r="AB31" s="12">
        <f t="shared" si="1"/>
        <v>0.1498728</v>
      </c>
    </row>
    <row r="32" spans="1:28" s="4" customFormat="1" ht="13" x14ac:dyDescent="0.3">
      <c r="A32" s="5">
        <v>244</v>
      </c>
      <c r="B32" s="6" t="s">
        <v>126</v>
      </c>
      <c r="C32" s="7">
        <v>43705</v>
      </c>
      <c r="D32" s="8">
        <v>6</v>
      </c>
      <c r="E32" s="9" t="s">
        <v>53</v>
      </c>
      <c r="F32" s="8" t="s">
        <v>75</v>
      </c>
      <c r="G32" s="11" t="s">
        <v>76</v>
      </c>
      <c r="H32" s="8" t="str">
        <f>"000051"</f>
        <v>000051</v>
      </c>
      <c r="I32" s="7">
        <v>43302</v>
      </c>
      <c r="J32" s="8" t="str">
        <f>"000011"</f>
        <v>000011</v>
      </c>
      <c r="K32" s="7">
        <v>43644</v>
      </c>
      <c r="L32" s="8" t="str">
        <f>"000048"</f>
        <v>000048</v>
      </c>
      <c r="M32" s="7">
        <v>43644</v>
      </c>
      <c r="N32" s="8">
        <v>18</v>
      </c>
      <c r="O32" s="8" t="str">
        <f>"004722"</f>
        <v>004722</v>
      </c>
      <c r="P32" s="7">
        <v>43699</v>
      </c>
      <c r="Q32" s="12">
        <v>1.9</v>
      </c>
      <c r="R32" s="12">
        <v>0.19</v>
      </c>
      <c r="S32" s="12">
        <v>1.71</v>
      </c>
      <c r="T32" s="8">
        <v>168</v>
      </c>
      <c r="U32" s="7">
        <v>43705</v>
      </c>
      <c r="V32" s="8">
        <v>9972924526</v>
      </c>
      <c r="W32" s="11" t="s">
        <v>131</v>
      </c>
      <c r="X32" s="8" t="s">
        <v>78</v>
      </c>
      <c r="Y32" s="11" t="s">
        <v>79</v>
      </c>
      <c r="Z32" s="8" t="s">
        <v>49</v>
      </c>
      <c r="AA32" s="11" t="s">
        <v>50</v>
      </c>
      <c r="AB32" s="12">
        <f t="shared" si="1"/>
        <v>1.9E-2</v>
      </c>
    </row>
    <row r="33" spans="1:28" s="4" customFormat="1" ht="13" x14ac:dyDescent="0.3">
      <c r="A33" s="5">
        <v>245</v>
      </c>
      <c r="B33" s="6" t="s">
        <v>126</v>
      </c>
      <c r="C33" s="7">
        <v>43705</v>
      </c>
      <c r="D33" s="8">
        <v>6</v>
      </c>
      <c r="E33" s="9" t="s">
        <v>53</v>
      </c>
      <c r="F33" s="8" t="s">
        <v>132</v>
      </c>
      <c r="G33" s="11" t="s">
        <v>133</v>
      </c>
      <c r="H33" s="8" t="str">
        <f>"000071"</f>
        <v>000071</v>
      </c>
      <c r="I33" s="7">
        <v>43678</v>
      </c>
      <c r="J33" s="8" t="str">
        <f>"000019"</f>
        <v>000019</v>
      </c>
      <c r="K33" s="7">
        <v>43684</v>
      </c>
      <c r="L33" s="8" t="str">
        <f>"000068"</f>
        <v>000068</v>
      </c>
      <c r="M33" s="7">
        <v>43691</v>
      </c>
      <c r="N33" s="8">
        <v>19</v>
      </c>
      <c r="O33" s="8" t="str">
        <f>"004735"</f>
        <v>004735</v>
      </c>
      <c r="P33" s="7">
        <v>43699</v>
      </c>
      <c r="Q33" s="12">
        <v>99.504999999999995</v>
      </c>
      <c r="R33" s="12">
        <v>4.5330599999999999</v>
      </c>
      <c r="S33" s="12">
        <v>94.971940000000004</v>
      </c>
      <c r="T33" s="8">
        <v>168</v>
      </c>
      <c r="U33" s="7">
        <v>43705</v>
      </c>
      <c r="V33" s="8">
        <v>9341705164</v>
      </c>
      <c r="W33" s="11" t="s">
        <v>134</v>
      </c>
      <c r="X33" s="8" t="s">
        <v>135</v>
      </c>
      <c r="Y33" s="11" t="s">
        <v>136</v>
      </c>
      <c r="Z33" s="8" t="s">
        <v>49</v>
      </c>
      <c r="AA33" s="11" t="s">
        <v>50</v>
      </c>
      <c r="AB33" s="12">
        <f t="shared" si="1"/>
        <v>0.99504999999999999</v>
      </c>
    </row>
    <row r="34" spans="1:28" s="4" customFormat="1" ht="13" x14ac:dyDescent="0.3">
      <c r="A34" s="5">
        <v>246</v>
      </c>
      <c r="B34" s="6" t="s">
        <v>126</v>
      </c>
      <c r="C34" s="7">
        <v>43705</v>
      </c>
      <c r="D34" s="8">
        <v>6</v>
      </c>
      <c r="E34" s="9" t="s">
        <v>53</v>
      </c>
      <c r="F34" s="8" t="s">
        <v>137</v>
      </c>
      <c r="G34" s="11" t="s">
        <v>138</v>
      </c>
      <c r="H34" s="8" t="str">
        <f>"000072"</f>
        <v>000072</v>
      </c>
      <c r="I34" s="7">
        <v>43678</v>
      </c>
      <c r="J34" s="8" t="str">
        <f>"000020"</f>
        <v>000020</v>
      </c>
      <c r="K34" s="7">
        <v>43684</v>
      </c>
      <c r="L34" s="8" t="str">
        <f>"000069"</f>
        <v>000069</v>
      </c>
      <c r="M34" s="7">
        <v>43691</v>
      </c>
      <c r="N34" s="8">
        <v>19</v>
      </c>
      <c r="O34" s="8" t="str">
        <f>"004736"</f>
        <v>004736</v>
      </c>
      <c r="P34" s="7">
        <v>43699</v>
      </c>
      <c r="Q34" s="12">
        <v>99.544889999999995</v>
      </c>
      <c r="R34" s="12">
        <v>4.5180300000000004</v>
      </c>
      <c r="S34" s="12">
        <v>95.026859999999999</v>
      </c>
      <c r="T34" s="8">
        <v>168</v>
      </c>
      <c r="U34" s="7">
        <v>43705</v>
      </c>
      <c r="V34" s="8">
        <v>9341705164</v>
      </c>
      <c r="W34" s="11" t="s">
        <v>134</v>
      </c>
      <c r="X34" s="8" t="s">
        <v>135</v>
      </c>
      <c r="Y34" s="11" t="s">
        <v>136</v>
      </c>
      <c r="Z34" s="8" t="s">
        <v>49</v>
      </c>
      <c r="AA34" s="11" t="s">
        <v>50</v>
      </c>
      <c r="AB34" s="12">
        <f t="shared" si="1"/>
        <v>0.99544889999999997</v>
      </c>
    </row>
    <row r="35" spans="1:28" s="4" customFormat="1" ht="13" x14ac:dyDescent="0.3">
      <c r="A35" s="5">
        <v>247</v>
      </c>
      <c r="B35" s="6" t="s">
        <v>126</v>
      </c>
      <c r="C35" s="7">
        <v>43705</v>
      </c>
      <c r="D35" s="8">
        <v>6</v>
      </c>
      <c r="E35" s="9" t="s">
        <v>53</v>
      </c>
      <c r="F35" s="8" t="s">
        <v>139</v>
      </c>
      <c r="G35" s="11" t="s">
        <v>140</v>
      </c>
      <c r="H35" s="8" t="str">
        <f>"000074"</f>
        <v>000074</v>
      </c>
      <c r="I35" s="7">
        <v>43678</v>
      </c>
      <c r="J35" s="8" t="str">
        <f>"000023"</f>
        <v>000023</v>
      </c>
      <c r="K35" s="7">
        <v>43684</v>
      </c>
      <c r="L35" s="8" t="str">
        <f>"000070"</f>
        <v>000070</v>
      </c>
      <c r="M35" s="7">
        <v>43691</v>
      </c>
      <c r="N35" s="8">
        <v>19</v>
      </c>
      <c r="O35" s="8" t="str">
        <f>"004737"</f>
        <v>004737</v>
      </c>
      <c r="P35" s="7">
        <v>43699</v>
      </c>
      <c r="Q35" s="12">
        <v>99.533659999999998</v>
      </c>
      <c r="R35" s="12">
        <v>4.5651200000000003</v>
      </c>
      <c r="S35" s="12">
        <v>94.968540000000004</v>
      </c>
      <c r="T35" s="8">
        <v>168</v>
      </c>
      <c r="U35" s="7">
        <v>43705</v>
      </c>
      <c r="V35" s="8">
        <v>9341705164</v>
      </c>
      <c r="W35" s="11" t="s">
        <v>134</v>
      </c>
      <c r="X35" s="8" t="s">
        <v>135</v>
      </c>
      <c r="Y35" s="11" t="s">
        <v>136</v>
      </c>
      <c r="Z35" s="8" t="s">
        <v>49</v>
      </c>
      <c r="AA35" s="11" t="s">
        <v>50</v>
      </c>
      <c r="AB35" s="12">
        <f t="shared" si="1"/>
        <v>0.99533660000000002</v>
      </c>
    </row>
    <row r="36" spans="1:28" s="4" customFormat="1" ht="13" x14ac:dyDescent="0.3">
      <c r="A36" s="5">
        <v>248</v>
      </c>
      <c r="B36" s="6" t="s">
        <v>126</v>
      </c>
      <c r="C36" s="7">
        <v>43705</v>
      </c>
      <c r="D36" s="8">
        <v>6</v>
      </c>
      <c r="E36" s="9" t="s">
        <v>53</v>
      </c>
      <c r="F36" s="8" t="s">
        <v>141</v>
      </c>
      <c r="G36" s="11" t="s">
        <v>142</v>
      </c>
      <c r="H36" s="8" t="str">
        <f>"000073"</f>
        <v>000073</v>
      </c>
      <c r="I36" s="7">
        <v>43678</v>
      </c>
      <c r="J36" s="8" t="str">
        <f>"000021"</f>
        <v>000021</v>
      </c>
      <c r="K36" s="7">
        <v>43684</v>
      </c>
      <c r="L36" s="8" t="str">
        <f>"000071"</f>
        <v>000071</v>
      </c>
      <c r="M36" s="7">
        <v>43691</v>
      </c>
      <c r="N36" s="8">
        <v>19</v>
      </c>
      <c r="O36" s="8" t="str">
        <f>"004739"</f>
        <v>004739</v>
      </c>
      <c r="P36" s="7">
        <v>43699</v>
      </c>
      <c r="Q36" s="12">
        <v>99.491</v>
      </c>
      <c r="R36" s="12">
        <v>4.5331200000000003</v>
      </c>
      <c r="S36" s="12">
        <v>94.957880000000003</v>
      </c>
      <c r="T36" s="8">
        <v>168</v>
      </c>
      <c r="U36" s="7">
        <v>43705</v>
      </c>
      <c r="V36" s="8">
        <v>9341705164</v>
      </c>
      <c r="W36" s="11" t="s">
        <v>134</v>
      </c>
      <c r="X36" s="8" t="s">
        <v>135</v>
      </c>
      <c r="Y36" s="11" t="s">
        <v>136</v>
      </c>
      <c r="Z36" s="8" t="s">
        <v>49</v>
      </c>
      <c r="AA36" s="11" t="s">
        <v>50</v>
      </c>
      <c r="AB36" s="12">
        <f t="shared" si="1"/>
        <v>0.99490999999999996</v>
      </c>
    </row>
    <row r="37" spans="1:28" s="4" customFormat="1" ht="13" x14ac:dyDescent="0.3">
      <c r="A37" s="5">
        <v>249</v>
      </c>
      <c r="B37" s="6" t="s">
        <v>143</v>
      </c>
      <c r="C37" s="7">
        <v>43726</v>
      </c>
      <c r="D37" s="8">
        <v>6</v>
      </c>
      <c r="E37" s="9" t="s">
        <v>53</v>
      </c>
      <c r="F37" s="8" t="s">
        <v>144</v>
      </c>
      <c r="G37" s="11" t="s">
        <v>145</v>
      </c>
      <c r="H37" s="8" t="str">
        <f>"000188"</f>
        <v>000188</v>
      </c>
      <c r="I37" s="7">
        <v>43448</v>
      </c>
      <c r="J37" s="8" t="str">
        <f>"000055"</f>
        <v>000055</v>
      </c>
      <c r="K37" s="7">
        <v>43495</v>
      </c>
      <c r="L37" s="8" t="str">
        <f>"000220"</f>
        <v>000220</v>
      </c>
      <c r="M37" s="7">
        <v>43511</v>
      </c>
      <c r="N37" s="8">
        <v>17</v>
      </c>
      <c r="O37" s="8" t="str">
        <f>"005001"</f>
        <v>005001</v>
      </c>
      <c r="P37" s="7">
        <v>43719</v>
      </c>
      <c r="Q37" s="12">
        <v>49.995429999999999</v>
      </c>
      <c r="R37" s="12">
        <v>5.8823100000000004</v>
      </c>
      <c r="S37" s="12">
        <v>44.113120000000002</v>
      </c>
      <c r="T37" s="8">
        <v>191</v>
      </c>
      <c r="U37" s="7">
        <v>43726</v>
      </c>
      <c r="V37" s="8">
        <v>9449863065</v>
      </c>
      <c r="W37" s="11" t="s">
        <v>146</v>
      </c>
      <c r="X37" s="8" t="s">
        <v>147</v>
      </c>
      <c r="Y37" s="11" t="s">
        <v>148</v>
      </c>
      <c r="Z37" s="8" t="s">
        <v>49</v>
      </c>
      <c r="AA37" s="11" t="s">
        <v>50</v>
      </c>
      <c r="AB37" s="12">
        <f t="shared" si="1"/>
        <v>0.49995429999999996</v>
      </c>
    </row>
    <row r="38" spans="1:28" s="4" customFormat="1" ht="13" x14ac:dyDescent="0.3">
      <c r="A38" s="5">
        <v>250</v>
      </c>
      <c r="B38" s="6" t="s">
        <v>143</v>
      </c>
      <c r="C38" s="7">
        <v>43726</v>
      </c>
      <c r="D38" s="8">
        <v>6</v>
      </c>
      <c r="E38" s="9" t="s">
        <v>53</v>
      </c>
      <c r="F38" s="8" t="s">
        <v>149</v>
      </c>
      <c r="G38" s="11" t="s">
        <v>150</v>
      </c>
      <c r="H38" s="8" t="str">
        <f>"000018"</f>
        <v>000018</v>
      </c>
      <c r="I38" s="7">
        <v>43600</v>
      </c>
      <c r="J38" s="8" t="str">
        <f>"000018"</f>
        <v>000018</v>
      </c>
      <c r="K38" s="7">
        <v>43665</v>
      </c>
      <c r="L38" s="8" t="str">
        <f>"000065"</f>
        <v>000065</v>
      </c>
      <c r="M38" s="7">
        <v>43683</v>
      </c>
      <c r="N38" s="8">
        <v>19</v>
      </c>
      <c r="O38" s="8" t="str">
        <f>"005041"</f>
        <v>005041</v>
      </c>
      <c r="P38" s="7">
        <v>43720</v>
      </c>
      <c r="Q38" s="12">
        <v>17.539809999999999</v>
      </c>
      <c r="R38" s="12">
        <v>0.68156000000000005</v>
      </c>
      <c r="S38" s="12">
        <v>16.858250000000002</v>
      </c>
      <c r="T38" s="8">
        <v>191</v>
      </c>
      <c r="U38" s="7">
        <v>43726</v>
      </c>
      <c r="V38" s="8">
        <v>9448123078</v>
      </c>
      <c r="W38" s="11" t="s">
        <v>151</v>
      </c>
      <c r="X38" s="8" t="s">
        <v>152</v>
      </c>
      <c r="Y38" s="11" t="s">
        <v>153</v>
      </c>
      <c r="Z38" s="8" t="s">
        <v>49</v>
      </c>
      <c r="AA38" s="11" t="s">
        <v>50</v>
      </c>
      <c r="AB38" s="12">
        <f t="shared" si="1"/>
        <v>0.1753981</v>
      </c>
    </row>
    <row r="39" spans="1:28" s="4" customFormat="1" ht="13" x14ac:dyDescent="0.3">
      <c r="A39" s="5">
        <v>251</v>
      </c>
      <c r="B39" s="6" t="s">
        <v>143</v>
      </c>
      <c r="C39" s="7">
        <v>43726</v>
      </c>
      <c r="D39" s="8">
        <v>6</v>
      </c>
      <c r="E39" s="9" t="s">
        <v>53</v>
      </c>
      <c r="F39" s="8" t="s">
        <v>154</v>
      </c>
      <c r="G39" s="11" t="s">
        <v>155</v>
      </c>
      <c r="H39" s="8" t="str">
        <f>"000017"</f>
        <v>000017</v>
      </c>
      <c r="I39" s="7">
        <v>43600</v>
      </c>
      <c r="J39" s="8" t="str">
        <f>"000017"</f>
        <v>000017</v>
      </c>
      <c r="K39" s="7">
        <v>43665</v>
      </c>
      <c r="L39" s="8" t="str">
        <f>"000064"</f>
        <v>000064</v>
      </c>
      <c r="M39" s="7">
        <v>43683</v>
      </c>
      <c r="N39" s="8">
        <v>19</v>
      </c>
      <c r="O39" s="8" t="str">
        <f>"005042"</f>
        <v>005042</v>
      </c>
      <c r="P39" s="7">
        <v>43720</v>
      </c>
      <c r="Q39" s="12">
        <v>17.1935</v>
      </c>
      <c r="R39" s="12">
        <v>0.66810000000000003</v>
      </c>
      <c r="S39" s="12">
        <v>16.525400000000001</v>
      </c>
      <c r="T39" s="8">
        <v>191</v>
      </c>
      <c r="U39" s="7">
        <v>43726</v>
      </c>
      <c r="V39" s="8">
        <v>9448123078</v>
      </c>
      <c r="W39" s="11" t="s">
        <v>151</v>
      </c>
      <c r="X39" s="8" t="s">
        <v>152</v>
      </c>
      <c r="Y39" s="11" t="s">
        <v>153</v>
      </c>
      <c r="Z39" s="8" t="s">
        <v>49</v>
      </c>
      <c r="AA39" s="11" t="s">
        <v>50</v>
      </c>
      <c r="AB39" s="12">
        <f t="shared" si="1"/>
        <v>0.171935</v>
      </c>
    </row>
    <row r="40" spans="1:28" s="4" customFormat="1" ht="13" x14ac:dyDescent="0.3">
      <c r="A40" s="5">
        <v>252</v>
      </c>
      <c r="B40" s="6" t="s">
        <v>143</v>
      </c>
      <c r="C40" s="7">
        <v>43729</v>
      </c>
      <c r="D40" s="8">
        <v>6</v>
      </c>
      <c r="E40" s="9" t="s">
        <v>53</v>
      </c>
      <c r="F40" s="8" t="s">
        <v>156</v>
      </c>
      <c r="G40" s="11" t="s">
        <v>157</v>
      </c>
      <c r="H40" s="8" t="str">
        <f>"000248"</f>
        <v>000248</v>
      </c>
      <c r="I40" s="7">
        <v>42819</v>
      </c>
      <c r="J40" s="8" t="str">
        <f>"000017"</f>
        <v>000017</v>
      </c>
      <c r="K40" s="7">
        <v>43339</v>
      </c>
      <c r="L40" s="8" t="str">
        <f>"000083"</f>
        <v>000083</v>
      </c>
      <c r="M40" s="7">
        <v>43340</v>
      </c>
      <c r="N40" s="8">
        <v>14</v>
      </c>
      <c r="O40" s="8" t="str">
        <f>"005216"</f>
        <v>005216</v>
      </c>
      <c r="P40" s="7">
        <v>43727</v>
      </c>
      <c r="Q40" s="12">
        <v>22.44042</v>
      </c>
      <c r="R40" s="12">
        <v>0.54593999999999998</v>
      </c>
      <c r="S40" s="12">
        <v>21.894480000000001</v>
      </c>
      <c r="T40" s="8">
        <v>195</v>
      </c>
      <c r="U40" s="7">
        <v>43729</v>
      </c>
      <c r="V40" s="8">
        <v>9845119822</v>
      </c>
      <c r="W40" s="11" t="s">
        <v>158</v>
      </c>
      <c r="X40" s="8" t="s">
        <v>159</v>
      </c>
      <c r="Y40" s="11" t="s">
        <v>160</v>
      </c>
      <c r="Z40" s="8" t="s">
        <v>49</v>
      </c>
      <c r="AA40" s="11" t="s">
        <v>50</v>
      </c>
      <c r="AB40" s="12">
        <f t="shared" si="1"/>
        <v>0.2244042</v>
      </c>
    </row>
    <row r="41" spans="1:28" s="4" customFormat="1" ht="13" x14ac:dyDescent="0.3">
      <c r="A41" s="5">
        <v>253</v>
      </c>
      <c r="B41" s="6" t="s">
        <v>161</v>
      </c>
      <c r="C41" s="7">
        <v>43748</v>
      </c>
      <c r="D41" s="5">
        <v>6</v>
      </c>
      <c r="E41" s="9" t="s">
        <v>53</v>
      </c>
      <c r="F41" s="8" t="s">
        <v>60</v>
      </c>
      <c r="G41" s="9" t="s">
        <v>61</v>
      </c>
      <c r="H41" s="8" t="str">
        <f>"000040"</f>
        <v>000040</v>
      </c>
      <c r="I41" s="7">
        <v>42819</v>
      </c>
      <c r="J41" s="8" t="str">
        <f>"000003"</f>
        <v>000003</v>
      </c>
      <c r="K41" s="7">
        <v>43202</v>
      </c>
      <c r="L41" s="8" t="str">
        <f>"000003"</f>
        <v>000003</v>
      </c>
      <c r="M41" s="7">
        <v>43202</v>
      </c>
      <c r="N41" s="8">
        <v>16</v>
      </c>
      <c r="O41" s="8" t="str">
        <f>"004353"</f>
        <v>004353</v>
      </c>
      <c r="P41" s="7">
        <v>43306</v>
      </c>
      <c r="Q41" s="10">
        <v>14.13429</v>
      </c>
      <c r="R41" s="10">
        <v>1.8266100000000001</v>
      </c>
      <c r="S41" s="10">
        <v>12.30768</v>
      </c>
      <c r="T41" s="8">
        <v>13</v>
      </c>
      <c r="U41" s="7">
        <v>43748</v>
      </c>
      <c r="V41" s="8">
        <v>9620096296</v>
      </c>
      <c r="W41" s="9" t="s">
        <v>46</v>
      </c>
      <c r="X41" s="8" t="s">
        <v>29</v>
      </c>
      <c r="Y41" s="9" t="s">
        <v>30</v>
      </c>
      <c r="Z41" s="8" t="s">
        <v>31</v>
      </c>
      <c r="AA41" s="9" t="s">
        <v>32</v>
      </c>
      <c r="AB41" s="10">
        <v>0.14134289999999999</v>
      </c>
    </row>
    <row r="42" spans="1:28" s="4" customFormat="1" ht="13" x14ac:dyDescent="0.3">
      <c r="A42" s="5">
        <v>254</v>
      </c>
      <c r="B42" s="6" t="s">
        <v>161</v>
      </c>
      <c r="C42" s="7">
        <v>43769</v>
      </c>
      <c r="D42" s="5">
        <v>6</v>
      </c>
      <c r="E42" s="9" t="s">
        <v>53</v>
      </c>
      <c r="F42" s="8" t="s">
        <v>65</v>
      </c>
      <c r="G42" s="9" t="s">
        <v>66</v>
      </c>
      <c r="H42" s="8" t="str">
        <f>"000113"</f>
        <v>000113</v>
      </c>
      <c r="I42" s="7">
        <v>43179</v>
      </c>
      <c r="J42" s="8" t="str">
        <f>"000052"</f>
        <v>000052</v>
      </c>
      <c r="K42" s="7">
        <v>43488</v>
      </c>
      <c r="L42" s="8" t="str">
        <f>"000197"</f>
        <v>000197</v>
      </c>
      <c r="M42" s="7">
        <v>43488</v>
      </c>
      <c r="N42" s="8">
        <v>18</v>
      </c>
      <c r="O42" s="8" t="str">
        <f>"009113"</f>
        <v>009113</v>
      </c>
      <c r="P42" s="7">
        <v>43502</v>
      </c>
      <c r="Q42" s="10">
        <v>160.79400000000001</v>
      </c>
      <c r="R42" s="10">
        <v>10.106199999999999</v>
      </c>
      <c r="S42" s="10">
        <v>150.68780000000001</v>
      </c>
      <c r="T42" s="8">
        <v>13</v>
      </c>
      <c r="U42" s="7">
        <v>43769</v>
      </c>
      <c r="V42" s="8">
        <v>9945655299</v>
      </c>
      <c r="W42" s="9" t="s">
        <v>67</v>
      </c>
      <c r="X42" s="8" t="s">
        <v>33</v>
      </c>
      <c r="Y42" s="9" t="s">
        <v>34</v>
      </c>
      <c r="Z42" s="8" t="s">
        <v>49</v>
      </c>
      <c r="AA42" s="9" t="s">
        <v>50</v>
      </c>
      <c r="AB42" s="10">
        <v>1.6079400000000001</v>
      </c>
    </row>
    <row r="43" spans="1:28" s="4" customFormat="1" ht="13" x14ac:dyDescent="0.3">
      <c r="A43" s="5">
        <v>255</v>
      </c>
      <c r="B43" s="6" t="s">
        <v>162</v>
      </c>
      <c r="C43" s="7">
        <v>43782</v>
      </c>
      <c r="D43" s="5">
        <v>6</v>
      </c>
      <c r="E43" s="9" t="s">
        <v>53</v>
      </c>
      <c r="F43" s="8" t="s">
        <v>163</v>
      </c>
      <c r="G43" s="9" t="s">
        <v>164</v>
      </c>
      <c r="H43" s="8" t="str">
        <f>"000011"</f>
        <v>000011</v>
      </c>
      <c r="I43" s="7">
        <v>43281</v>
      </c>
      <c r="J43" s="8" t="str">
        <f>"000043"</f>
        <v>000043</v>
      </c>
      <c r="K43" s="7">
        <v>43759</v>
      </c>
      <c r="L43" s="8" t="str">
        <f>"000148"</f>
        <v>000148</v>
      </c>
      <c r="M43" s="7">
        <v>43769</v>
      </c>
      <c r="N43" s="8">
        <v>18</v>
      </c>
      <c r="O43" s="8" t="str">
        <f>"006163"</f>
        <v>006163</v>
      </c>
      <c r="P43" s="7">
        <v>43777</v>
      </c>
      <c r="Q43" s="10">
        <v>124.828</v>
      </c>
      <c r="R43" s="10">
        <v>5.1503899999999998</v>
      </c>
      <c r="S43" s="10">
        <v>119.67761</v>
      </c>
      <c r="T43" s="8">
        <v>13</v>
      </c>
      <c r="U43" s="7">
        <v>43782</v>
      </c>
      <c r="V43" s="8">
        <v>9845034278</v>
      </c>
      <c r="W43" s="9" t="s">
        <v>165</v>
      </c>
      <c r="X43" s="8" t="s">
        <v>78</v>
      </c>
      <c r="Y43" s="9" t="s">
        <v>79</v>
      </c>
      <c r="Z43" s="8" t="s">
        <v>49</v>
      </c>
      <c r="AA43" s="9" t="s">
        <v>50</v>
      </c>
      <c r="AB43" s="10">
        <v>1.2482800000000001</v>
      </c>
    </row>
    <row r="44" spans="1:28" s="4" customFormat="1" ht="13" x14ac:dyDescent="0.3">
      <c r="A44" s="5">
        <v>256</v>
      </c>
      <c r="B44" s="6" t="s">
        <v>162</v>
      </c>
      <c r="C44" s="7">
        <v>43797</v>
      </c>
      <c r="D44" s="5">
        <v>6</v>
      </c>
      <c r="E44" s="9" t="s">
        <v>53</v>
      </c>
      <c r="F44" s="8" t="s">
        <v>87</v>
      </c>
      <c r="G44" s="9" t="s">
        <v>88</v>
      </c>
      <c r="H44" s="8" t="str">
        <f>"000011"</f>
        <v>000011</v>
      </c>
      <c r="I44" s="7">
        <v>42891</v>
      </c>
      <c r="J44" s="8" t="str">
        <f>"000001"</f>
        <v>000001</v>
      </c>
      <c r="K44" s="7">
        <v>43011</v>
      </c>
      <c r="L44" s="8" t="str">
        <f>"000005"</f>
        <v>000005</v>
      </c>
      <c r="M44" s="7">
        <v>43011</v>
      </c>
      <c r="N44" s="8">
        <v>17</v>
      </c>
      <c r="O44" s="8" t="str">
        <f>"009031"</f>
        <v>009031</v>
      </c>
      <c r="P44" s="7">
        <v>43117</v>
      </c>
      <c r="Q44" s="10">
        <v>22.555</v>
      </c>
      <c r="R44" s="10">
        <v>0.96665999999999996</v>
      </c>
      <c r="S44" s="10">
        <v>21.588339999999999</v>
      </c>
      <c r="T44" s="8">
        <v>13</v>
      </c>
      <c r="U44" s="7">
        <v>43797</v>
      </c>
      <c r="V44" s="8">
        <v>7760405418</v>
      </c>
      <c r="W44" s="9" t="s">
        <v>89</v>
      </c>
      <c r="X44" s="8" t="s">
        <v>47</v>
      </c>
      <c r="Y44" s="9" t="s">
        <v>48</v>
      </c>
      <c r="Z44" s="8" t="s">
        <v>35</v>
      </c>
      <c r="AA44" s="9" t="s">
        <v>36</v>
      </c>
      <c r="AB44" s="10">
        <v>0.22555</v>
      </c>
    </row>
    <row r="45" spans="1:28" s="4" customFormat="1" ht="13" x14ac:dyDescent="0.3">
      <c r="A45" s="5">
        <v>257</v>
      </c>
      <c r="B45" s="6" t="s">
        <v>166</v>
      </c>
      <c r="C45" s="7">
        <v>43801</v>
      </c>
      <c r="D45" s="5">
        <v>6</v>
      </c>
      <c r="E45" s="9" t="s">
        <v>53</v>
      </c>
      <c r="F45" s="8" t="s">
        <v>167</v>
      </c>
      <c r="G45" s="9" t="s">
        <v>168</v>
      </c>
      <c r="H45" s="8" t="str">
        <f>"000075"</f>
        <v>000075</v>
      </c>
      <c r="I45" s="7">
        <v>43158</v>
      </c>
      <c r="J45" s="8" t="str">
        <f>"000042"</f>
        <v>000042</v>
      </c>
      <c r="K45" s="7">
        <v>43748</v>
      </c>
      <c r="L45" s="8" t="str">
        <f>"000142"</f>
        <v>000142</v>
      </c>
      <c r="M45" s="7">
        <v>43761</v>
      </c>
      <c r="N45" s="8">
        <v>18</v>
      </c>
      <c r="O45" s="8" t="str">
        <f>"006399"</f>
        <v>006399</v>
      </c>
      <c r="P45" s="7">
        <v>43794</v>
      </c>
      <c r="Q45" s="10">
        <v>4.9029999999999996</v>
      </c>
      <c r="R45" s="10">
        <v>0.55169999999999997</v>
      </c>
      <c r="S45" s="10">
        <v>4.3513000000000002</v>
      </c>
      <c r="T45" s="8">
        <v>13</v>
      </c>
      <c r="U45" s="7">
        <v>43801</v>
      </c>
      <c r="V45" s="8">
        <v>9449863065</v>
      </c>
      <c r="W45" s="9" t="s">
        <v>169</v>
      </c>
      <c r="X45" s="8" t="s">
        <v>170</v>
      </c>
      <c r="Y45" s="9" t="s">
        <v>171</v>
      </c>
      <c r="Z45" s="8" t="s">
        <v>49</v>
      </c>
      <c r="AA45" s="9" t="s">
        <v>50</v>
      </c>
      <c r="AB45" s="10">
        <v>4.9029999999999997E-2</v>
      </c>
    </row>
    <row r="46" spans="1:28" s="4" customFormat="1" ht="13" x14ac:dyDescent="0.3">
      <c r="A46" s="5">
        <v>258</v>
      </c>
      <c r="B46" s="6" t="s">
        <v>166</v>
      </c>
      <c r="C46" s="7">
        <v>43809</v>
      </c>
      <c r="D46" s="5">
        <v>6</v>
      </c>
      <c r="E46" s="9" t="s">
        <v>53</v>
      </c>
      <c r="F46" s="8" t="s">
        <v>172</v>
      </c>
      <c r="G46" s="9" t="s">
        <v>173</v>
      </c>
      <c r="H46" s="8" t="str">
        <f>"000073"</f>
        <v>000073</v>
      </c>
      <c r="I46" s="7">
        <v>43308</v>
      </c>
      <c r="J46" s="8" t="str">
        <f>"000026"</f>
        <v>000026</v>
      </c>
      <c r="K46" s="7">
        <v>43365</v>
      </c>
      <c r="L46" s="8" t="str">
        <f>"000106"</f>
        <v>000106</v>
      </c>
      <c r="M46" s="7">
        <v>43368</v>
      </c>
      <c r="N46" s="8">
        <v>18</v>
      </c>
      <c r="O46" s="8" t="str">
        <f>"006618"</f>
        <v>006618</v>
      </c>
      <c r="P46" s="7">
        <v>43803</v>
      </c>
      <c r="Q46" s="10">
        <v>49.718020000000003</v>
      </c>
      <c r="R46" s="10">
        <v>4.0271600000000003</v>
      </c>
      <c r="S46" s="10">
        <v>45.690860000000001</v>
      </c>
      <c r="T46" s="8">
        <v>13</v>
      </c>
      <c r="U46" s="7">
        <v>43809</v>
      </c>
      <c r="V46" s="8">
        <v>9972424626</v>
      </c>
      <c r="W46" s="9" t="s">
        <v>52</v>
      </c>
      <c r="X46" s="8" t="s">
        <v>174</v>
      </c>
      <c r="Y46" s="9" t="s">
        <v>175</v>
      </c>
      <c r="Z46" s="8" t="s">
        <v>49</v>
      </c>
      <c r="AA46" s="9" t="s">
        <v>50</v>
      </c>
      <c r="AB46" s="10">
        <v>0.49718020000000002</v>
      </c>
    </row>
    <row r="47" spans="1:28" s="4" customFormat="1" ht="13" x14ac:dyDescent="0.3">
      <c r="A47" s="5">
        <v>259</v>
      </c>
      <c r="B47" s="6" t="s">
        <v>166</v>
      </c>
      <c r="C47" s="7">
        <v>43809</v>
      </c>
      <c r="D47" s="5">
        <v>6</v>
      </c>
      <c r="E47" s="9" t="s">
        <v>53</v>
      </c>
      <c r="F47" s="8" t="s">
        <v>176</v>
      </c>
      <c r="G47" s="9" t="s">
        <v>177</v>
      </c>
      <c r="H47" s="8" t="str">
        <f>"000077"</f>
        <v>000077</v>
      </c>
      <c r="I47" s="7">
        <v>43308</v>
      </c>
      <c r="J47" s="8" t="str">
        <f>"000028"</f>
        <v>000028</v>
      </c>
      <c r="K47" s="7">
        <v>43369</v>
      </c>
      <c r="L47" s="8" t="str">
        <f>"000111"</f>
        <v>000111</v>
      </c>
      <c r="M47" s="7">
        <v>43370</v>
      </c>
      <c r="N47" s="8">
        <v>18</v>
      </c>
      <c r="O47" s="8" t="str">
        <f>"006619"</f>
        <v>006619</v>
      </c>
      <c r="P47" s="7">
        <v>43803</v>
      </c>
      <c r="Q47" s="10">
        <v>19.279509999999998</v>
      </c>
      <c r="R47" s="10">
        <v>0.40488000000000002</v>
      </c>
      <c r="S47" s="10">
        <v>18.87463</v>
      </c>
      <c r="T47" s="8">
        <v>13</v>
      </c>
      <c r="U47" s="7">
        <v>43809</v>
      </c>
      <c r="V47" s="8">
        <v>9880650463</v>
      </c>
      <c r="W47" s="9" t="s">
        <v>178</v>
      </c>
      <c r="X47" s="8" t="s">
        <v>159</v>
      </c>
      <c r="Y47" s="9" t="s">
        <v>160</v>
      </c>
      <c r="Z47" s="8" t="s">
        <v>49</v>
      </c>
      <c r="AA47" s="9" t="s">
        <v>50</v>
      </c>
      <c r="AB47" s="10">
        <v>0.1927951</v>
      </c>
    </row>
    <row r="48" spans="1:28" s="4" customFormat="1" ht="13" x14ac:dyDescent="0.3">
      <c r="A48" s="5">
        <v>260</v>
      </c>
      <c r="B48" s="6" t="s">
        <v>166</v>
      </c>
      <c r="C48" s="7">
        <v>43818</v>
      </c>
      <c r="D48" s="5">
        <v>6</v>
      </c>
      <c r="E48" s="9" t="s">
        <v>53</v>
      </c>
      <c r="F48" s="8" t="s">
        <v>116</v>
      </c>
      <c r="G48" s="9" t="s">
        <v>117</v>
      </c>
      <c r="H48" s="8" t="str">
        <f>"000234"</f>
        <v>000234</v>
      </c>
      <c r="I48" s="7">
        <v>43523</v>
      </c>
      <c r="J48" s="8" t="str">
        <f>"000024"</f>
        <v>000024</v>
      </c>
      <c r="K48" s="7">
        <v>43685</v>
      </c>
      <c r="L48" s="8" t="str">
        <f>"000124"</f>
        <v>000124</v>
      </c>
      <c r="M48" s="7">
        <v>43747</v>
      </c>
      <c r="N48" s="8">
        <v>19</v>
      </c>
      <c r="O48" s="8" t="str">
        <f>"006627"</f>
        <v>006627</v>
      </c>
      <c r="P48" s="7">
        <v>43803</v>
      </c>
      <c r="Q48" s="10">
        <v>0.71399000000000001</v>
      </c>
      <c r="R48" s="10">
        <v>7.9600000000000004E-2</v>
      </c>
      <c r="S48" s="10">
        <v>0.63439000000000001</v>
      </c>
      <c r="T48" s="8">
        <v>13</v>
      </c>
      <c r="U48" s="7">
        <v>43818</v>
      </c>
      <c r="V48" s="8">
        <v>9886913195</v>
      </c>
      <c r="W48" s="9" t="s">
        <v>179</v>
      </c>
      <c r="X48" s="8" t="s">
        <v>33</v>
      </c>
      <c r="Y48" s="9" t="s">
        <v>34</v>
      </c>
      <c r="Z48" s="8" t="s">
        <v>49</v>
      </c>
      <c r="AA48" s="9" t="s">
        <v>50</v>
      </c>
      <c r="AB48" s="10">
        <v>7.1399000000000002E-3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2020-01-28T11:15:16Z</dcterms:modified>
</cp:coreProperties>
</file>