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0" i="1" l="1"/>
  <c r="L70" i="1"/>
  <c r="J70" i="1"/>
  <c r="H70" i="1"/>
  <c r="O69" i="1"/>
  <c r="L69" i="1"/>
  <c r="J69" i="1"/>
  <c r="H69" i="1"/>
  <c r="O68" i="1"/>
  <c r="L68" i="1"/>
  <c r="J68" i="1"/>
  <c r="H68" i="1"/>
  <c r="O67" i="1"/>
  <c r="L67" i="1"/>
  <c r="J67" i="1"/>
  <c r="H67" i="1"/>
  <c r="O66" i="1"/>
  <c r="L66" i="1"/>
  <c r="J66" i="1"/>
  <c r="H66" i="1"/>
  <c r="O65" i="1"/>
  <c r="L65" i="1"/>
  <c r="J65" i="1"/>
  <c r="H65" i="1"/>
  <c r="O64" i="1"/>
  <c r="L64" i="1"/>
  <c r="J64" i="1"/>
  <c r="H64" i="1"/>
  <c r="O63" i="1"/>
  <c r="L63" i="1"/>
  <c r="J63" i="1"/>
  <c r="H63" i="1"/>
  <c r="O62" i="1"/>
  <c r="L62" i="1"/>
  <c r="J62" i="1"/>
  <c r="H62" i="1"/>
  <c r="O61" i="1"/>
  <c r="L61" i="1"/>
  <c r="J61" i="1"/>
  <c r="H61" i="1"/>
  <c r="O60" i="1"/>
  <c r="L60" i="1"/>
  <c r="J60" i="1"/>
  <c r="H60" i="1"/>
  <c r="O59" i="1"/>
  <c r="L59" i="1"/>
  <c r="J59" i="1"/>
  <c r="H59" i="1"/>
  <c r="O58" i="1"/>
  <c r="L58" i="1"/>
  <c r="J58" i="1"/>
  <c r="H58" i="1"/>
  <c r="O57" i="1"/>
  <c r="L57" i="1"/>
  <c r="J57" i="1"/>
  <c r="H57" i="1"/>
  <c r="O56" i="1"/>
  <c r="L56" i="1"/>
  <c r="J56" i="1"/>
  <c r="H56" i="1"/>
  <c r="O55" i="1"/>
  <c r="L55" i="1"/>
  <c r="J55" i="1"/>
  <c r="H55" i="1"/>
  <c r="O54" i="1"/>
  <c r="L54" i="1"/>
  <c r="J54" i="1"/>
  <c r="H54" i="1"/>
  <c r="O53" i="1"/>
  <c r="L53" i="1"/>
  <c r="J53" i="1"/>
  <c r="H53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<sst xmlns="http://schemas.openxmlformats.org/spreadsheetml/2006/main" count="649" uniqueCount="216">
  <si>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</si>
  <si>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</si>
  <si>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</si>
  <si>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</si>
  <si>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</si>
  <si>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</si>
  <si>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</si>
  <si>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</si>
  <si>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</si>
  <si>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</si>
  <si>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</si>
  <si>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</si>
  <si>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</si>
  <si>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</si>
  <si>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</si>
  <si>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</si>
  <si>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</si>
  <si>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</si>
  <si>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</si>
  <si>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</si>
  <si>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</si>
  <si>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</si>
  <si>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</si>
  <si>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</si>
  <si>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</si>
  <si>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</si>
  <si>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</si>
  <si>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</si>
  <si>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</si>
  <si>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</si>
  <si>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</si>
  <si>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</si>
  <si>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</si>
  <si>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</si>
  <si>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</si>
  <si>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M/s.KRIDL</t>
  </si>
  <si>
    <t>P1878</t>
  </si>
  <si>
    <t>18per - Works (Bhagyajyothi, Sooru / Neeru Yojane and General) (54 Lakhs / New Wards)</t>
  </si>
  <si>
    <t>P3296</t>
  </si>
  <si>
    <t>14th Finance Commission Works - Road and Footpath Maintenance</t>
  </si>
  <si>
    <t>KRIDL</t>
  </si>
  <si>
    <t>P3110</t>
  </si>
  <si>
    <t>14th Finance Commission Grant Works</t>
  </si>
  <si>
    <t xml:space="preserve">M/s KRIDL </t>
  </si>
  <si>
    <t>P3075</t>
  </si>
  <si>
    <t>Special comprehensive development works in Bangalore city (Bangalore city in charge Minister Discretionary Grants)</t>
  </si>
  <si>
    <t>ddo089</t>
  </si>
  <si>
    <t xml:space="preserve"> Assistant Executive Engineer Electrical East Zone</t>
  </si>
  <si>
    <t>ddo079</t>
  </si>
  <si>
    <t xml:space="preserve"> Assistant Executive Engineer K G Halli East Zone</t>
  </si>
  <si>
    <t>P3293</t>
  </si>
  <si>
    <t>14th Finance Commission Works - Drinking Water</t>
  </si>
  <si>
    <t>M/s KRIDL</t>
  </si>
  <si>
    <t>Sagayara Puram</t>
  </si>
  <si>
    <t>060-19-000027</t>
  </si>
  <si>
    <t>PROVIDING LED STREET LIGHTS TO OLD BAGLUR LAYOUT NEW BAGLUR LAYOUT PILLANNA GARDEN AK COLONY AND SURROUNDING AREA IN WARD NO 60 SAGAYAPURAM</t>
  </si>
  <si>
    <t>060-18-000080</t>
  </si>
  <si>
    <t>VERTICAL EXTENSION OF SECOND FLOOR BBMP PUC BUILDING AND OTHER BALANCE WORKS AT PILLANNA GARDEN IN WARD NO 60 SAGAYAPURAM</t>
  </si>
  <si>
    <t>P2652</t>
  </si>
  <si>
    <t>Contribution to Community Benefits</t>
  </si>
  <si>
    <t>060-16-000002</t>
  </si>
  <si>
    <t>Operation and Maintenance of street lights at Sagayapuram and S.K.Garden area ward no,s 60 and 61 Package E 9for one year.</t>
  </si>
  <si>
    <t>M/s Srinath Electricals</t>
  </si>
  <si>
    <t>060-17-000041</t>
  </si>
  <si>
    <t>Construction of toilet block at Charles ground in ward no 60</t>
  </si>
  <si>
    <t>060-17-000098</t>
  </si>
  <si>
    <t>Providing New Borewells and Mini water supply line in Sagayapuram Ward Jurisdiction at Ward no 60</t>
  </si>
  <si>
    <t>060-18-000093</t>
  </si>
  <si>
    <t>CONSTRUCTION OF SC/ST COMMUNITY HOUSES IN MS BUILDING PK COLONY IN WARD NO 60 SAGAYAPURAM</t>
  </si>
  <si>
    <t>060-17-000007</t>
  </si>
  <si>
    <t>CONSTRUCTION OF DR B R AMBEDKAR BHAVAN IN NEW BAGALUR LAYOUT IN WARD NO 60 SAGAYA PURAM</t>
  </si>
  <si>
    <t>060-18-000063</t>
  </si>
  <si>
    <t>MAINTAINANCE OF COMMUNITY TOILETS IN WARD NO 60 SAGAYAPURAM</t>
  </si>
  <si>
    <t>060-18-000707</t>
  </si>
  <si>
    <t>DEVELOPMENT OF ROADS IN PILLANNA GARDEN 3RD CROSS IN WARD NO 60 SAGAYAPURAM</t>
  </si>
  <si>
    <t>060-18-000708</t>
  </si>
  <si>
    <t>DEVELOPMENT OF ROADS IN PILLANNA GARDEN 4TH CROSS IN WARD NO 60 SAGAYAPURAM</t>
  </si>
  <si>
    <t>060-18-000711</t>
  </si>
  <si>
    <t>DEVELOPMENT OF ROADS IN PILLANNA GARDEN 9TH CROSS IN WARD NO 60 SAGAYAPURAM</t>
  </si>
  <si>
    <t>060-18-000705</t>
  </si>
  <si>
    <t>DEVELOPMENT OF ROADS IN PILLANNA GARDEN 1ST CROSS IN WARD NO 60 SAGAYAPURAM</t>
  </si>
  <si>
    <t>060-18-000053</t>
  </si>
  <si>
    <t>CONSTRUCCTION OF SWD STROM WATER DRAI NEAR SUNDER HOUSPITAL PARALLEL TO RAILWAY LANE IN WARD NO 60 SAGAYAPURAM</t>
  </si>
  <si>
    <t>M.s KRIDL</t>
  </si>
  <si>
    <t>060-18-000706</t>
  </si>
  <si>
    <t>DEVELOPMENT OF ROADS IN PILLANNA GARDEN 2ND CROSS IN WARD NO 60 SAGAYAPURAM</t>
  </si>
  <si>
    <t>060-18-000712</t>
  </si>
  <si>
    <t>DEVELOPMENT OF ROADS IN PILLANNA GARDEN 11TH CROSS IN WARD NO 60 SAGAYAPURAM</t>
  </si>
  <si>
    <t>060-18-000713</t>
  </si>
  <si>
    <t>DEVELOPMENT OF ROADS IN PILLANNA GARDEN 4TH MAIN  IN WARD NO 60 SAGAYAPURAM</t>
  </si>
  <si>
    <t>060-18-000710</t>
  </si>
  <si>
    <t>DEVELOPMENT OF ROADS IN PILLANNA GARDEN 8TH CROSS IN WARD NO 60 SAGAYAPURAM</t>
  </si>
  <si>
    <t>060-18-000023</t>
  </si>
  <si>
    <t>Providing and installation of children playing equipments in Richard s park in ward no 60 Sagayapuram</t>
  </si>
  <si>
    <t>P3336</t>
  </si>
  <si>
    <t>Special Development works at Ward No.63,84,86,112,144 ( 05 wards Rs.10.00 Cr. Each) and Ward no.60,80,113,122 ( 04 wards Rs.11.00 Cr. Each)</t>
  </si>
  <si>
    <t>ddo075</t>
  </si>
  <si>
    <t xml:space="preserve"> Executive Engineer Project East Zone</t>
  </si>
  <si>
    <t>060-18-000024</t>
  </si>
  <si>
    <t>Providing and installation of Gym equipments in Richard s park in ward no 60 Sagayapuram</t>
  </si>
  <si>
    <t>060-17-000101</t>
  </si>
  <si>
    <t>EMERGENCY GRANT FOR THE YEAR 2016-17 IN WARD NO 60</t>
  </si>
  <si>
    <t>K. Gunashekar</t>
  </si>
  <si>
    <t>060-18-000078</t>
  </si>
  <si>
    <t>CONSTRUCTION OF ADDITIONAL ROOMS AND VERTICAL EXTENSION OF THIRD FLOOR AT DR.B.R.AMBEDKAR BHAVAN IN WARD NO 60 SAGAYAPURAM</t>
  </si>
  <si>
    <t>060-18-000532</t>
  </si>
  <si>
    <t>Emergeny maintenance of roads and footpath in ward no 60 Sagayapuram</t>
  </si>
  <si>
    <t>060-18-000529</t>
  </si>
  <si>
    <t>Maintenance of water supply line in ward no 60 Sagayapuram</t>
  </si>
  <si>
    <t>060-18-000066</t>
  </si>
  <si>
    <t>CONSTRUCTION OF OFFICE BUILDING STAGE ENTRANCE ARCH AND OTHER CIVIL WORKS IN CHARLES GROUND IN WARD NO 60 SAGAYAPURAM</t>
  </si>
  <si>
    <t>060-18-000083</t>
  </si>
  <si>
    <t>WATER SUPPLY FOR SECONDARY HIGH SCHOOL AT PILLANNA GARDEN BBMP SCHOOL IN WARD NO 60 SAGAYAPURAM</t>
  </si>
  <si>
    <t>060-18-000076</t>
  </si>
  <si>
    <t>CONSTRUCTION OF COMPOUND WALL AND OTHER WORKS IN DR.B.R.AMBEDKAR BHAVAN IN WARD NO 60 SAGAYAPURAM</t>
  </si>
  <si>
    <t>060-18-000067</t>
  </si>
  <si>
    <t>CONSTRUCTION OF CLOSED GALLERY AND SITTING ARRANGEMENTS TO NORTHERN SIDE OF CHARLES GROUND IN WARD NO 60 SAGAYAPURAM</t>
  </si>
  <si>
    <t>060-18-000068</t>
  </si>
  <si>
    <t>CONSTRUCTION OF CLOSED GALLERY AND SITTING ARRANGEMENTS TO SOUTHERN SIDE OF CHARLES GROUND IN WARD NO 60 SAGAYAPURAM</t>
  </si>
  <si>
    <t>July</t>
  </si>
  <si>
    <t>060-19-000044</t>
  </si>
  <si>
    <t>IMPROVEMENTS TO ROADS AND DRAINS IN 20TH TO 26TH CROSS IN OLD BAGALUR LAYOUT NEAR TO PARK AND SURROUNDINGS AREA IN WARD NO 60 SAGAYAPURAM</t>
  </si>
  <si>
    <t>060-18-000709</t>
  </si>
  <si>
    <t>DEVELOPMENT OF ROADS IN PILLANNA GARDEN 7TH CROSS IN WARD NO 60 SAGAYAPURAM</t>
  </si>
  <si>
    <t>060-18-000048</t>
  </si>
  <si>
    <t>CONSTRUCTION OF COMMUNITY HALL AND DEVELOPMENTAL WORKS NEAR LINGARAJAPURA FLY OVER IN WARD NO 60 SAGAYAPURA</t>
  </si>
  <si>
    <t>060-17-000027</t>
  </si>
  <si>
    <t>Improvements to roads and drains at Cookson road in Ward No60</t>
  </si>
  <si>
    <t>Sri. Khalid Rahim</t>
  </si>
  <si>
    <t>August</t>
  </si>
  <si>
    <t>060-18-000071</t>
  </si>
  <si>
    <t>CONSTRUCTION OF BANGALORE ONE CENTER IN NEW BAGALUR LAYOUT MAIN ROAD IN WARD NO 60 SAGAYAPURAM</t>
  </si>
  <si>
    <t>060-16-000012</t>
  </si>
  <si>
    <t>ENGAGING TRACTOR AND LABOUR FOR WARD MAINTENANCE IN WARD NO 60</t>
  </si>
  <si>
    <t>060-17-000090</t>
  </si>
  <si>
    <t>Drilling of Borewells and Providing water supply pipeline at Old Bagalur Layout in ward no 60</t>
  </si>
  <si>
    <t>P3119</t>
  </si>
  <si>
    <t>Developmental works at Byatarayanapura and Pulakeshinagar assembly constituency(Rs.5.cr each)</t>
  </si>
  <si>
    <t>060-17-000092</t>
  </si>
  <si>
    <t>Drilling of Borewells and Providing water supply pipeline at Richards Park surrounding area in ward no 60</t>
  </si>
  <si>
    <t>060-17-000091</t>
  </si>
  <si>
    <t>Drilling of Borewells and Providing water supply pipeline at Ramabai colony in ward no 60</t>
  </si>
  <si>
    <t>060-17-000089</t>
  </si>
  <si>
    <t>Drilling of Borewells and Providing water supply pipeline at Bagalur Layout in ward no 60</t>
  </si>
  <si>
    <t>September</t>
  </si>
  <si>
    <t>060-19-000004</t>
  </si>
  <si>
    <t>Improvements to roads in Gosphal Street main road and surrounding area in ward no 60 Sagayapuram</t>
  </si>
  <si>
    <t>P3111</t>
  </si>
  <si>
    <t>State Finance Commission Untied Grant Works</t>
  </si>
  <si>
    <t>060-17-000019</t>
  </si>
  <si>
    <t>Filling of Pot holes for concrete roads in Ward No.60</t>
  </si>
  <si>
    <t>V.L. Muniraju</t>
  </si>
  <si>
    <t>060-18-000546</t>
  </si>
  <si>
    <t>Providing LED street lights in Old Bagalur Layout in ward no 60 Sagayapuram</t>
  </si>
  <si>
    <t>P0190</t>
  </si>
  <si>
    <t>Works sanctioned by Hon Mayor</t>
  </si>
  <si>
    <t>060-18-000547</t>
  </si>
  <si>
    <t>Providing LED street lights in New Bagalur Layout in ward no 60 Sagayapuram</t>
  </si>
  <si>
    <t>060-18-000548</t>
  </si>
  <si>
    <t>Providing LED street lights in 8th main New Bagalur Layout in ward no 60 Sagayapuram</t>
  </si>
  <si>
    <t>060-18-000549</t>
  </si>
  <si>
    <t>Providing LED street lights PK Colony M S Building Kandaswamy Mudaliyar road Viviani road in ward no 60 Sagayapuram</t>
  </si>
  <si>
    <t>October</t>
  </si>
  <si>
    <t>060-18-000081</t>
  </si>
  <si>
    <t>CONSTRUCTION OF SECONDARY HIGH SCHOOL AT PILLANNA GARDEN BBMP SCHOOL IN WARD NO 60 SAGAYAPURAM</t>
  </si>
  <si>
    <t>Abbu Sambasiva Reddy</t>
  </si>
  <si>
    <t>060-18-000079</t>
  </si>
  <si>
    <t>CONSTRUCTION OF COMMUNITY HOUSES FOR SC/ST IN PK COLONY IN WARD NO 60 SAGAYAPURAM</t>
  </si>
  <si>
    <t>A. Adinarayana Reddy</t>
  </si>
  <si>
    <t>060-18-000533</t>
  </si>
  <si>
    <t>Desiliting of storm water drain in doddy slotter house in ward no 60 Sagayapuram</t>
  </si>
  <si>
    <t>P3297</t>
  </si>
  <si>
    <t>14th Finance Commission Grants - SWD Works</t>
  </si>
  <si>
    <t>060-18-000530</t>
  </si>
  <si>
    <t>Maintenance of Community toilets in ward no 60 Sagayapuram</t>
  </si>
  <si>
    <t>P3294</t>
  </si>
  <si>
    <t>14th Finance Commission Works - General Public ToiletandSeptage Maintenance</t>
  </si>
  <si>
    <t>060-18-000527</t>
  </si>
  <si>
    <t>Maintenance of Samudhaya bhavana community halls in ward no 60 Sagayapuram</t>
  </si>
  <si>
    <t>P3292</t>
  </si>
  <si>
    <t>14th Finance Commission Works - Community Property Maintenance (including Parks)</t>
  </si>
  <si>
    <t>060-18-000526</t>
  </si>
  <si>
    <t>Maintenance of ward office building in ward no 60 Sagayapuram</t>
  </si>
  <si>
    <t>P3291</t>
  </si>
  <si>
    <t>14th Fin -Maintenance of Cremotorium, Burial Grounds</t>
  </si>
  <si>
    <t>060-17-000094</t>
  </si>
  <si>
    <t>Providing CC Camera at Garbage Block Spots in ward no 60</t>
  </si>
  <si>
    <t>060-17-000035</t>
  </si>
  <si>
    <t>Improvements to BBMP School at Pillanna Garden in ward no 60 Pulikeshinagar Constituency</t>
  </si>
  <si>
    <t>T. Nataraj</t>
  </si>
  <si>
    <t>P3106</t>
  </si>
  <si>
    <t>Nagarothana Works</t>
  </si>
  <si>
    <t>060-18-000521</t>
  </si>
  <si>
    <t>Providing and improvements to waste collection windrow platform at small and large animal section in Existing Slaughter Halls, Tannery road (Dhoddy) in ward no 60 Sagayapuram</t>
  </si>
  <si>
    <t>P2166</t>
  </si>
  <si>
    <t>Maintenance of Abattoir</t>
  </si>
  <si>
    <t>December</t>
  </si>
  <si>
    <t>060-18-000082</t>
  </si>
  <si>
    <t>INTERNAL AND EXTERNAL ELECTRIFICATION FOR SECONDARY HIGH SCHOOL AT PILLANNA GARDEN BBMP SCHOOL IN WARD NO 60 SAGAYAPURAM</t>
  </si>
  <si>
    <t>060-18-000077</t>
  </si>
  <si>
    <t>PROVIDING ELECTRIFICATION AND LIGHTING FACILITIES IN DR.B.R.AMBEDKAR BHAVAN IN WARD NO 60 SAGAYAPURAM</t>
  </si>
  <si>
    <t>060-16-000010</t>
  </si>
  <si>
    <t>CONSTRUCTION OF CULVERTS IN WARD NO 60</t>
  </si>
  <si>
    <t>V. Srinivas</t>
  </si>
  <si>
    <t>060-18-000031</t>
  </si>
  <si>
    <t>Improvements to drains and footpath in pillanna garden surroundings in ward no 60 Sagayapuram</t>
  </si>
  <si>
    <t>060-18-000037</t>
  </si>
  <si>
    <t>Improvements to Cement concrete roads in Church compound road in new bagalur layout in ward no 60 Sagayapuram</t>
  </si>
  <si>
    <t>060-18-000522</t>
  </si>
  <si>
    <t>Repairs and improvements to existing Lia rage sheds in Existing Slaughter Halls, Tannery road (Dhoddy) in ward no 60 Sagayapuram</t>
  </si>
  <si>
    <t>060-18-000041</t>
  </si>
  <si>
    <t>PROVIDING WATER SUPPLY LINE IN WARD NO 60 SAGAYAPURAM</t>
  </si>
  <si>
    <t>P1802</t>
  </si>
  <si>
    <t>Water Supply New Areas</t>
  </si>
  <si>
    <t>060-18-000036</t>
  </si>
  <si>
    <t>Improvements of drains in church compound road in new bagalur layout in ward no 60 Sagayapuarm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</si>
</sst>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tabSelected="1" workbookViewId="0">
      <selection activeCell="D2" sqref="D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2.90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2083</v>
      </c>
      <c r="B2" s="6" t="s">
        <v>28</v>
      </c>
      <c r="C2" s="7">
        <v>43566</v>
      </c>
      <c r="D2" s="8">
        <v>60</v>
      </c>
      <c r="E2" s="9" t="s">
        <v>53</v>
      </c>
      <c r="F2" s="8" t="s">
        <v>54</v>
      </c>
      <c r="G2" s="9" t="s">
        <v>55</v>
      </c>
      <c r="H2" s="8" t="str">
        <f>"000080"</f>
        <v>000080</v>
      </c>
      <c r="I2" s="7">
        <v>43389</v>
      </c>
      <c r="J2" s="8" t="str">
        <f>"000173"</f>
        <v>000173</v>
      </c>
      <c r="K2" s="7">
        <v>43413</v>
      </c>
      <c r="L2" s="8" t="str">
        <f>"000172"</f>
        <v>000172</v>
      </c>
      <c r="M2" s="7">
        <v>43413</v>
      </c>
      <c r="N2" s="8">
        <v>19</v>
      </c>
      <c r="O2" s="8" t="str">
        <f>"000269"</f>
        <v>000269</v>
      </c>
      <c r="P2" s="7">
        <v>43564</v>
      </c>
      <c r="Q2" s="10">
        <v>49.981470000000002</v>
      </c>
      <c r="R2" s="10">
        <v>6.1924400000000004</v>
      </c>
      <c r="S2" s="10">
        <v>43.789029999999997</v>
      </c>
      <c r="T2" s="8">
        <v>15</v>
      </c>
      <c r="U2" s="7">
        <v>43566</v>
      </c>
      <c r="V2" s="8">
        <v>9945525730</v>
      </c>
      <c r="W2" s="9" t="s">
        <v>35</v>
      </c>
      <c r="X2" s="8" t="s">
        <v>36</v>
      </c>
      <c r="Y2" s="9" t="s">
        <v>37</v>
      </c>
      <c r="Z2" s="8" t="s">
        <v>46</v>
      </c>
      <c r="AA2" s="9" t="s">
        <v>47</v>
      </c>
      <c r="AB2" s="10">
        <f t="shared" ref="AB2:AB16" si="0">Q2/100</f>
        <v>0.4998147</v>
      </c>
    </row>
    <row r="3" spans="1:28" s="4" customFormat="1" ht="13" x14ac:dyDescent="0.3">
      <c r="A3" s="5">
        <v>2084</v>
      </c>
      <c r="B3" s="6" t="s">
        <v>28</v>
      </c>
      <c r="C3" s="7">
        <v>43566</v>
      </c>
      <c r="D3" s="8">
        <v>60</v>
      </c>
      <c r="E3" s="9" t="s">
        <v>53</v>
      </c>
      <c r="F3" s="8" t="s">
        <v>56</v>
      </c>
      <c r="G3" s="9" t="s">
        <v>57</v>
      </c>
      <c r="H3" s="8" t="str">
        <f>"000234"</f>
        <v>000234</v>
      </c>
      <c r="I3" s="7">
        <v>43173</v>
      </c>
      <c r="J3" s="8" t="str">
        <f>"000123"</f>
        <v>000123</v>
      </c>
      <c r="K3" s="7">
        <v>43423</v>
      </c>
      <c r="L3" s="8" t="str">
        <f>"000205"</f>
        <v>000205</v>
      </c>
      <c r="M3" s="7">
        <v>43423</v>
      </c>
      <c r="N3" s="8">
        <v>18</v>
      </c>
      <c r="O3" s="8" t="str">
        <f>"000290"</f>
        <v>000290</v>
      </c>
      <c r="P3" s="7">
        <v>43565</v>
      </c>
      <c r="Q3" s="10">
        <v>38.972200000000001</v>
      </c>
      <c r="R3" s="10">
        <v>1.91595</v>
      </c>
      <c r="S3" s="10">
        <v>37.056249999999999</v>
      </c>
      <c r="T3" s="8">
        <v>15</v>
      </c>
      <c r="U3" s="7">
        <v>43566</v>
      </c>
      <c r="V3" s="8">
        <v>9945568501</v>
      </c>
      <c r="W3" s="9" t="s">
        <v>52</v>
      </c>
      <c r="X3" s="8" t="s">
        <v>58</v>
      </c>
      <c r="Y3" s="9" t="s">
        <v>59</v>
      </c>
      <c r="Z3" s="8" t="s">
        <v>48</v>
      </c>
      <c r="AA3" s="9" t="s">
        <v>49</v>
      </c>
      <c r="AB3" s="10">
        <f t="shared" si="0"/>
        <v>0.38972200000000001</v>
      </c>
    </row>
    <row r="4" spans="1:28" s="4" customFormat="1" ht="13" x14ac:dyDescent="0.3">
      <c r="A4" s="5">
        <v>2085</v>
      </c>
      <c r="B4" s="6" t="s">
        <v>28</v>
      </c>
      <c r="C4" s="7">
        <v>43575</v>
      </c>
      <c r="D4" s="8">
        <v>60</v>
      </c>
      <c r="E4" s="9" t="s">
        <v>53</v>
      </c>
      <c r="F4" s="8" t="s">
        <v>60</v>
      </c>
      <c r="G4" s="9" t="s">
        <v>61</v>
      </c>
      <c r="H4" s="8" t="str">
        <f>"000012"</f>
        <v>000012</v>
      </c>
      <c r="I4" s="7">
        <v>42947</v>
      </c>
      <c r="J4" s="8" t="str">
        <f>"000193"</f>
        <v>000193</v>
      </c>
      <c r="K4" s="7">
        <v>43462</v>
      </c>
      <c r="L4" s="8" t="str">
        <f>"000186"</f>
        <v>000186</v>
      </c>
      <c r="M4" s="7">
        <v>43462</v>
      </c>
      <c r="N4" s="8">
        <v>16</v>
      </c>
      <c r="O4" s="8" t="str">
        <f>"000601"</f>
        <v>000601</v>
      </c>
      <c r="P4" s="7">
        <v>43570</v>
      </c>
      <c r="Q4" s="10">
        <v>9.2160399999999996</v>
      </c>
      <c r="R4" s="10">
        <v>0.79461000000000004</v>
      </c>
      <c r="S4" s="10">
        <v>8.4214300000000009</v>
      </c>
      <c r="T4" s="8">
        <v>20</v>
      </c>
      <c r="U4" s="7">
        <v>43575</v>
      </c>
      <c r="V4" s="8">
        <v>9845860866</v>
      </c>
      <c r="W4" s="9" t="s">
        <v>62</v>
      </c>
      <c r="X4" s="8" t="s">
        <v>29</v>
      </c>
      <c r="Y4" s="9" t="s">
        <v>30</v>
      </c>
      <c r="Z4" s="8" t="s">
        <v>46</v>
      </c>
      <c r="AA4" s="9" t="s">
        <v>47</v>
      </c>
      <c r="AB4" s="10">
        <f t="shared" si="0"/>
        <v>9.216039999999999E-2</v>
      </c>
    </row>
    <row r="5" spans="1:28" s="4" customFormat="1" ht="13" x14ac:dyDescent="0.3">
      <c r="A5" s="5">
        <v>2086</v>
      </c>
      <c r="B5" s="6" t="s">
        <v>28</v>
      </c>
      <c r="C5" s="7">
        <v>43575</v>
      </c>
      <c r="D5" s="8">
        <v>60</v>
      </c>
      <c r="E5" s="9" t="s">
        <v>53</v>
      </c>
      <c r="F5" s="8" t="s">
        <v>60</v>
      </c>
      <c r="G5" s="9" t="s">
        <v>61</v>
      </c>
      <c r="H5" s="8" t="str">
        <f>"000012"</f>
        <v>000012</v>
      </c>
      <c r="I5" s="7">
        <v>42947</v>
      </c>
      <c r="J5" s="8" t="str">
        <f>"000193"</f>
        <v>000193</v>
      </c>
      <c r="K5" s="7">
        <v>43462</v>
      </c>
      <c r="L5" s="8" t="str">
        <f>"000186"</f>
        <v>000186</v>
      </c>
      <c r="M5" s="7">
        <v>43462</v>
      </c>
      <c r="N5" s="8">
        <v>16</v>
      </c>
      <c r="O5" s="8" t="str">
        <f>"000601"</f>
        <v>000601</v>
      </c>
      <c r="P5" s="7">
        <v>43570</v>
      </c>
      <c r="Q5" s="10">
        <v>3.02685</v>
      </c>
      <c r="R5" s="10">
        <v>0.42030000000000001</v>
      </c>
      <c r="S5" s="10">
        <v>2.6065499999999999</v>
      </c>
      <c r="T5" s="8">
        <v>20</v>
      </c>
      <c r="U5" s="7">
        <v>43575</v>
      </c>
      <c r="V5" s="8">
        <v>9845860866</v>
      </c>
      <c r="W5" s="9" t="s">
        <v>62</v>
      </c>
      <c r="X5" s="8" t="s">
        <v>29</v>
      </c>
      <c r="Y5" s="9" t="s">
        <v>30</v>
      </c>
      <c r="Z5" s="8" t="s">
        <v>46</v>
      </c>
      <c r="AA5" s="9" t="s">
        <v>47</v>
      </c>
      <c r="AB5" s="10">
        <f t="shared" si="0"/>
        <v>3.02685E-2</v>
      </c>
    </row>
    <row r="6" spans="1:28" s="4" customFormat="1" ht="13" x14ac:dyDescent="0.3">
      <c r="A6" s="5">
        <v>2087</v>
      </c>
      <c r="B6" s="6" t="s">
        <v>28</v>
      </c>
      <c r="C6" s="7">
        <v>43578</v>
      </c>
      <c r="D6" s="8">
        <v>60</v>
      </c>
      <c r="E6" s="9" t="s">
        <v>53</v>
      </c>
      <c r="F6" s="8" t="s">
        <v>63</v>
      </c>
      <c r="G6" s="9" t="s">
        <v>64</v>
      </c>
      <c r="H6" s="8" t="str">
        <f>"000234"</f>
        <v>000234</v>
      </c>
      <c r="I6" s="7">
        <v>43428</v>
      </c>
      <c r="J6" s="8" t="str">
        <f>"000166"</f>
        <v>000166</v>
      </c>
      <c r="K6" s="7">
        <v>43494</v>
      </c>
      <c r="L6" s="8" t="str">
        <f>"000290"</f>
        <v>000290</v>
      </c>
      <c r="M6" s="7">
        <v>43495</v>
      </c>
      <c r="N6" s="8">
        <v>17</v>
      </c>
      <c r="O6" s="8" t="str">
        <f>"000695"</f>
        <v>000695</v>
      </c>
      <c r="P6" s="7">
        <v>43577</v>
      </c>
      <c r="Q6" s="10">
        <v>24.542000000000002</v>
      </c>
      <c r="R6" s="10">
        <v>2.57361</v>
      </c>
      <c r="S6" s="10">
        <v>21.968389999999999</v>
      </c>
      <c r="T6" s="8">
        <v>24</v>
      </c>
      <c r="U6" s="7">
        <v>43578</v>
      </c>
      <c r="V6" s="8">
        <v>9343733339</v>
      </c>
      <c r="W6" s="9" t="s">
        <v>43</v>
      </c>
      <c r="X6" s="8" t="s">
        <v>41</v>
      </c>
      <c r="Y6" s="9" t="s">
        <v>42</v>
      </c>
      <c r="Z6" s="8" t="s">
        <v>48</v>
      </c>
      <c r="AA6" s="9" t="s">
        <v>49</v>
      </c>
      <c r="AB6" s="10">
        <f t="shared" si="0"/>
        <v>0.24542000000000003</v>
      </c>
    </row>
    <row r="7" spans="1:28" s="4" customFormat="1" ht="13" x14ac:dyDescent="0.3">
      <c r="A7" s="5">
        <v>2088</v>
      </c>
      <c r="B7" s="6" t="s">
        <v>28</v>
      </c>
      <c r="C7" s="7">
        <v>43580</v>
      </c>
      <c r="D7" s="8">
        <v>60</v>
      </c>
      <c r="E7" s="9" t="s">
        <v>53</v>
      </c>
      <c r="F7" s="8" t="s">
        <v>65</v>
      </c>
      <c r="G7" s="9" t="s">
        <v>66</v>
      </c>
      <c r="H7" s="8" t="str">
        <f>"000083"</f>
        <v>000083</v>
      </c>
      <c r="I7" s="7">
        <v>42915</v>
      </c>
      <c r="J7" s="8" t="str">
        <f>"000057"</f>
        <v>000057</v>
      </c>
      <c r="K7" s="7">
        <v>43287</v>
      </c>
      <c r="L7" s="8" t="str">
        <f>"000081"</f>
        <v>000081</v>
      </c>
      <c r="M7" s="7">
        <v>43293</v>
      </c>
      <c r="N7" s="8">
        <v>17</v>
      </c>
      <c r="O7" s="8" t="str">
        <f>"000957"</f>
        <v>000957</v>
      </c>
      <c r="P7" s="7">
        <v>43579</v>
      </c>
      <c r="Q7" s="10">
        <v>49.465800000000002</v>
      </c>
      <c r="R7" s="10">
        <v>4.0965499999999997</v>
      </c>
      <c r="S7" s="10">
        <v>45.369250000000001</v>
      </c>
      <c r="T7" s="8">
        <v>27</v>
      </c>
      <c r="U7" s="7">
        <v>43580</v>
      </c>
      <c r="V7" s="8">
        <v>9035660123</v>
      </c>
      <c r="W7" s="9" t="s">
        <v>52</v>
      </c>
      <c r="X7" s="8" t="s">
        <v>44</v>
      </c>
      <c r="Y7" s="9" t="s">
        <v>45</v>
      </c>
      <c r="Z7" s="8" t="s">
        <v>48</v>
      </c>
      <c r="AA7" s="9" t="s">
        <v>49</v>
      </c>
      <c r="AB7" s="10">
        <f t="shared" si="0"/>
        <v>0.49465800000000004</v>
      </c>
    </row>
    <row r="8" spans="1:28" s="4" customFormat="1" ht="13" x14ac:dyDescent="0.3">
      <c r="A8" s="5">
        <v>2089</v>
      </c>
      <c r="B8" s="6" t="s">
        <v>28</v>
      </c>
      <c r="C8" s="7">
        <v>43581</v>
      </c>
      <c r="D8" s="8">
        <v>60</v>
      </c>
      <c r="E8" s="9" t="s">
        <v>53</v>
      </c>
      <c r="F8" s="8" t="s">
        <v>67</v>
      </c>
      <c r="G8" s="9" t="s">
        <v>68</v>
      </c>
      <c r="H8" s="8" t="str">
        <f>"000038"</f>
        <v>000038</v>
      </c>
      <c r="I8" s="7">
        <v>43298</v>
      </c>
      <c r="J8" s="8" t="str">
        <f>"000112"</f>
        <v>000112</v>
      </c>
      <c r="K8" s="7">
        <v>43388</v>
      </c>
      <c r="L8" s="8" t="str">
        <f>"000178"</f>
        <v>000178</v>
      </c>
      <c r="M8" s="7">
        <v>43389</v>
      </c>
      <c r="N8" s="8">
        <v>18</v>
      </c>
      <c r="O8" s="8" t="str">
        <f>"000919"</f>
        <v>000919</v>
      </c>
      <c r="P8" s="7">
        <v>43579</v>
      </c>
      <c r="Q8" s="10">
        <v>8.7684499999999996</v>
      </c>
      <c r="R8" s="10">
        <v>0.45583000000000001</v>
      </c>
      <c r="S8" s="10">
        <v>8.3126200000000008</v>
      </c>
      <c r="T8" s="8">
        <v>30</v>
      </c>
      <c r="U8" s="7">
        <v>43581</v>
      </c>
      <c r="V8" s="8">
        <v>9980809864</v>
      </c>
      <c r="W8" s="9" t="s">
        <v>52</v>
      </c>
      <c r="X8" s="8" t="s">
        <v>58</v>
      </c>
      <c r="Y8" s="9" t="s">
        <v>59</v>
      </c>
      <c r="Z8" s="8" t="s">
        <v>48</v>
      </c>
      <c r="AA8" s="9" t="s">
        <v>49</v>
      </c>
      <c r="AB8" s="10">
        <f t="shared" si="0"/>
        <v>8.7684499999999999E-2</v>
      </c>
    </row>
    <row r="9" spans="1:28" s="4" customFormat="1" ht="13" x14ac:dyDescent="0.3">
      <c r="A9" s="5">
        <v>2090</v>
      </c>
      <c r="B9" s="6" t="s">
        <v>28</v>
      </c>
      <c r="C9" s="7">
        <v>43581</v>
      </c>
      <c r="D9" s="8">
        <v>60</v>
      </c>
      <c r="E9" s="9" t="s">
        <v>53</v>
      </c>
      <c r="F9" s="8" t="s">
        <v>69</v>
      </c>
      <c r="G9" s="9" t="s">
        <v>70</v>
      </c>
      <c r="H9" s="8" t="str">
        <f>"000181"</f>
        <v>000181</v>
      </c>
      <c r="I9" s="7">
        <v>42741</v>
      </c>
      <c r="J9" s="8" t="str">
        <f>"000129"</f>
        <v>000129</v>
      </c>
      <c r="K9" s="7">
        <v>43432</v>
      </c>
      <c r="L9" s="8" t="str">
        <f>"000217"</f>
        <v>000217</v>
      </c>
      <c r="M9" s="7">
        <v>43433</v>
      </c>
      <c r="N9" s="8">
        <v>17</v>
      </c>
      <c r="O9" s="8" t="str">
        <f>"000924"</f>
        <v>000924</v>
      </c>
      <c r="P9" s="7">
        <v>43579</v>
      </c>
      <c r="Q9" s="10">
        <v>45.926270000000002</v>
      </c>
      <c r="R9" s="10">
        <v>2.3622399999999999</v>
      </c>
      <c r="S9" s="10">
        <v>43.564030000000002</v>
      </c>
      <c r="T9" s="8">
        <v>30</v>
      </c>
      <c r="U9" s="7">
        <v>43581</v>
      </c>
      <c r="V9" s="8">
        <v>9945568501</v>
      </c>
      <c r="W9" s="9" t="s">
        <v>40</v>
      </c>
      <c r="X9" s="8" t="s">
        <v>36</v>
      </c>
      <c r="Y9" s="9" t="s">
        <v>37</v>
      </c>
      <c r="Z9" s="8" t="s">
        <v>48</v>
      </c>
      <c r="AA9" s="9" t="s">
        <v>49</v>
      </c>
      <c r="AB9" s="10">
        <f t="shared" si="0"/>
        <v>0.45926270000000002</v>
      </c>
    </row>
    <row r="10" spans="1:28" s="4" customFormat="1" ht="13" x14ac:dyDescent="0.3">
      <c r="A10" s="5">
        <v>2091</v>
      </c>
      <c r="B10" s="6" t="s">
        <v>34</v>
      </c>
      <c r="C10" s="7">
        <v>43591</v>
      </c>
      <c r="D10" s="8">
        <v>60</v>
      </c>
      <c r="E10" s="9" t="s">
        <v>53</v>
      </c>
      <c r="F10" s="8" t="s">
        <v>105</v>
      </c>
      <c r="G10" s="9" t="s">
        <v>106</v>
      </c>
      <c r="H10" s="8" t="str">
        <f>"000202"</f>
        <v>000202</v>
      </c>
      <c r="I10" s="7">
        <v>43406</v>
      </c>
      <c r="J10" s="8" t="str">
        <f>"000211"</f>
        <v>000211</v>
      </c>
      <c r="K10" s="7">
        <v>43543</v>
      </c>
      <c r="L10" s="8" t="str">
        <f>"000376"</f>
        <v>000376</v>
      </c>
      <c r="M10" s="7">
        <v>43544</v>
      </c>
      <c r="N10" s="8">
        <v>18</v>
      </c>
      <c r="O10" s="8" t="str">
        <f>"001314"</f>
        <v>001314</v>
      </c>
      <c r="P10" s="7">
        <v>43588</v>
      </c>
      <c r="Q10" s="10">
        <v>14.606</v>
      </c>
      <c r="R10" s="10">
        <v>1.5264</v>
      </c>
      <c r="S10" s="10">
        <v>13.079599999999999</v>
      </c>
      <c r="T10" s="8">
        <v>35</v>
      </c>
      <c r="U10" s="7">
        <v>43591</v>
      </c>
      <c r="V10" s="8">
        <v>9945568501</v>
      </c>
      <c r="W10" s="9" t="s">
        <v>43</v>
      </c>
      <c r="X10" s="8" t="s">
        <v>38</v>
      </c>
      <c r="Y10" s="9" t="s">
        <v>39</v>
      </c>
      <c r="Z10" s="8" t="s">
        <v>48</v>
      </c>
      <c r="AA10" s="9" t="s">
        <v>49</v>
      </c>
      <c r="AB10" s="10">
        <f t="shared" si="0"/>
        <v>0.14606</v>
      </c>
    </row>
    <row r="11" spans="1:28" s="4" customFormat="1" ht="13" x14ac:dyDescent="0.3">
      <c r="A11" s="5">
        <v>2092</v>
      </c>
      <c r="B11" s="6" t="s">
        <v>34</v>
      </c>
      <c r="C11" s="7">
        <v>43591</v>
      </c>
      <c r="D11" s="8">
        <v>60</v>
      </c>
      <c r="E11" s="9" t="s">
        <v>53</v>
      </c>
      <c r="F11" s="8" t="s">
        <v>107</v>
      </c>
      <c r="G11" s="9" t="s">
        <v>108</v>
      </c>
      <c r="H11" s="8" t="str">
        <f>"000203"</f>
        <v>000203</v>
      </c>
      <c r="I11" s="7">
        <v>43406</v>
      </c>
      <c r="J11" s="8" t="str">
        <f>"000208"</f>
        <v>000208</v>
      </c>
      <c r="K11" s="7">
        <v>43543</v>
      </c>
      <c r="L11" s="8" t="str">
        <f>"000373"</f>
        <v>000373</v>
      </c>
      <c r="M11" s="7">
        <v>43544</v>
      </c>
      <c r="N11" s="8">
        <v>18</v>
      </c>
      <c r="O11" s="8" t="str">
        <f>"001315"</f>
        <v>001315</v>
      </c>
      <c r="P11" s="7">
        <v>43588</v>
      </c>
      <c r="Q11" s="10">
        <v>9.9286399999999997</v>
      </c>
      <c r="R11" s="10">
        <v>1.0285</v>
      </c>
      <c r="S11" s="10">
        <v>8.9001400000000004</v>
      </c>
      <c r="T11" s="8">
        <v>35</v>
      </c>
      <c r="U11" s="7">
        <v>43591</v>
      </c>
      <c r="V11" s="8">
        <v>9945568501</v>
      </c>
      <c r="W11" s="9" t="s">
        <v>43</v>
      </c>
      <c r="X11" s="8" t="s">
        <v>50</v>
      </c>
      <c r="Y11" s="9" t="s">
        <v>51</v>
      </c>
      <c r="Z11" s="8" t="s">
        <v>48</v>
      </c>
      <c r="AA11" s="9" t="s">
        <v>49</v>
      </c>
      <c r="AB11" s="10">
        <f t="shared" si="0"/>
        <v>9.9286399999999997E-2</v>
      </c>
    </row>
    <row r="12" spans="1:28" s="4" customFormat="1" ht="13" x14ac:dyDescent="0.3">
      <c r="A12" s="5">
        <v>2093</v>
      </c>
      <c r="B12" s="6" t="s">
        <v>34</v>
      </c>
      <c r="C12" s="7">
        <v>43591</v>
      </c>
      <c r="D12" s="8">
        <v>60</v>
      </c>
      <c r="E12" s="9" t="s">
        <v>53</v>
      </c>
      <c r="F12" s="8" t="s">
        <v>109</v>
      </c>
      <c r="G12" s="9" t="s">
        <v>110</v>
      </c>
      <c r="H12" s="8" t="str">
        <f>"000064"</f>
        <v>000064</v>
      </c>
      <c r="I12" s="7">
        <v>43318</v>
      </c>
      <c r="J12" s="8" t="str">
        <f>"000143"</f>
        <v>000143</v>
      </c>
      <c r="K12" s="7">
        <v>43461</v>
      </c>
      <c r="L12" s="8" t="str">
        <f>"000264"</f>
        <v>000264</v>
      </c>
      <c r="M12" s="7">
        <v>43467</v>
      </c>
      <c r="N12" s="8">
        <v>18</v>
      </c>
      <c r="O12" s="8" t="str">
        <f>"001251"</f>
        <v>001251</v>
      </c>
      <c r="P12" s="7">
        <v>43587</v>
      </c>
      <c r="Q12" s="10">
        <v>47.873280000000001</v>
      </c>
      <c r="R12" s="10">
        <v>2.49288</v>
      </c>
      <c r="S12" s="10">
        <v>45.380400000000002</v>
      </c>
      <c r="T12" s="8">
        <v>39</v>
      </c>
      <c r="U12" s="7">
        <v>43591</v>
      </c>
      <c r="V12" s="8">
        <v>9886628834</v>
      </c>
      <c r="W12" s="9" t="s">
        <v>43</v>
      </c>
      <c r="X12" s="8" t="s">
        <v>36</v>
      </c>
      <c r="Y12" s="9" t="s">
        <v>37</v>
      </c>
      <c r="Z12" s="8" t="s">
        <v>48</v>
      </c>
      <c r="AA12" s="9" t="s">
        <v>49</v>
      </c>
      <c r="AB12" s="10">
        <f t="shared" si="0"/>
        <v>0.47873280000000001</v>
      </c>
    </row>
    <row r="13" spans="1:28" s="4" customFormat="1" ht="13" x14ac:dyDescent="0.3">
      <c r="A13" s="5">
        <v>2094</v>
      </c>
      <c r="B13" s="6" t="s">
        <v>34</v>
      </c>
      <c r="C13" s="7">
        <v>43601</v>
      </c>
      <c r="D13" s="8">
        <v>60</v>
      </c>
      <c r="E13" s="9" t="s">
        <v>53</v>
      </c>
      <c r="F13" s="8" t="s">
        <v>111</v>
      </c>
      <c r="G13" s="9" t="s">
        <v>112</v>
      </c>
      <c r="H13" s="8" t="str">
        <f>"000224"</f>
        <v>000224</v>
      </c>
      <c r="I13" s="7">
        <v>43413</v>
      </c>
      <c r="J13" s="8" t="str">
        <f>"000153"</f>
        <v>000153</v>
      </c>
      <c r="K13" s="7">
        <v>43467</v>
      </c>
      <c r="L13" s="8" t="str">
        <f>"000265"</f>
        <v>000265</v>
      </c>
      <c r="M13" s="7">
        <v>43468</v>
      </c>
      <c r="N13" s="8">
        <v>18</v>
      </c>
      <c r="O13" s="8" t="str">
        <f>"001435"</f>
        <v>001435</v>
      </c>
      <c r="P13" s="7">
        <v>43598</v>
      </c>
      <c r="Q13" s="10">
        <v>9.8005200000000006</v>
      </c>
      <c r="R13" s="10">
        <v>0.97589999999999999</v>
      </c>
      <c r="S13" s="10">
        <v>8.8246199999999995</v>
      </c>
      <c r="T13" s="8">
        <v>48</v>
      </c>
      <c r="U13" s="7">
        <v>43601</v>
      </c>
      <c r="V13" s="8">
        <v>9945568501</v>
      </c>
      <c r="W13" s="9" t="s">
        <v>43</v>
      </c>
      <c r="X13" s="8" t="s">
        <v>58</v>
      </c>
      <c r="Y13" s="9" t="s">
        <v>59</v>
      </c>
      <c r="Z13" s="8" t="s">
        <v>48</v>
      </c>
      <c r="AA13" s="9" t="s">
        <v>49</v>
      </c>
      <c r="AB13" s="10">
        <f t="shared" si="0"/>
        <v>9.8005200000000001E-2</v>
      </c>
    </row>
    <row r="14" spans="1:28" s="4" customFormat="1" ht="13" x14ac:dyDescent="0.3">
      <c r="A14" s="5">
        <v>2095</v>
      </c>
      <c r="B14" s="6" t="s">
        <v>34</v>
      </c>
      <c r="C14" s="7">
        <v>43601</v>
      </c>
      <c r="D14" s="8">
        <v>60</v>
      </c>
      <c r="E14" s="9" t="s">
        <v>53</v>
      </c>
      <c r="F14" s="8" t="s">
        <v>113</v>
      </c>
      <c r="G14" s="9" t="s">
        <v>114</v>
      </c>
      <c r="H14" s="8" t="str">
        <f>"000225"</f>
        <v>000225</v>
      </c>
      <c r="I14" s="7">
        <v>43413</v>
      </c>
      <c r="J14" s="8" t="str">
        <f>"000152"</f>
        <v>000152</v>
      </c>
      <c r="K14" s="7">
        <v>43467</v>
      </c>
      <c r="L14" s="8" t="str">
        <f>"000266"</f>
        <v>000266</v>
      </c>
      <c r="M14" s="7">
        <v>43468</v>
      </c>
      <c r="N14" s="8">
        <v>18</v>
      </c>
      <c r="O14" s="8" t="str">
        <f>"001436"</f>
        <v>001436</v>
      </c>
      <c r="P14" s="7">
        <v>43598</v>
      </c>
      <c r="Q14" s="10">
        <v>35.943330000000003</v>
      </c>
      <c r="R14" s="10">
        <v>4.37385</v>
      </c>
      <c r="S14" s="10">
        <v>31.569479999999999</v>
      </c>
      <c r="T14" s="8">
        <v>48</v>
      </c>
      <c r="U14" s="7">
        <v>43601</v>
      </c>
      <c r="V14" s="8">
        <v>9945568501</v>
      </c>
      <c r="W14" s="9" t="s">
        <v>43</v>
      </c>
      <c r="X14" s="8" t="s">
        <v>58</v>
      </c>
      <c r="Y14" s="9" t="s">
        <v>59</v>
      </c>
      <c r="Z14" s="8" t="s">
        <v>48</v>
      </c>
      <c r="AA14" s="9" t="s">
        <v>49</v>
      </c>
      <c r="AB14" s="10">
        <f t="shared" si="0"/>
        <v>0.35943330000000001</v>
      </c>
    </row>
    <row r="15" spans="1:28" s="4" customFormat="1" ht="13" x14ac:dyDescent="0.3">
      <c r="A15" s="5">
        <v>2096</v>
      </c>
      <c r="B15" s="6" t="s">
        <v>34</v>
      </c>
      <c r="C15" s="7">
        <v>43601</v>
      </c>
      <c r="D15" s="8">
        <v>60</v>
      </c>
      <c r="E15" s="9" t="s">
        <v>53</v>
      </c>
      <c r="F15" s="8" t="s">
        <v>115</v>
      </c>
      <c r="G15" s="9" t="s">
        <v>116</v>
      </c>
      <c r="H15" s="8" t="str">
        <f>"000073"</f>
        <v>000073</v>
      </c>
      <c r="I15" s="7">
        <v>43342</v>
      </c>
      <c r="J15" s="8" t="str">
        <f>"000155"</f>
        <v>000155</v>
      </c>
      <c r="K15" s="7">
        <v>43474</v>
      </c>
      <c r="L15" s="8" t="str">
        <f>"000273"</f>
        <v>000273</v>
      </c>
      <c r="M15" s="7">
        <v>43474</v>
      </c>
      <c r="N15" s="8">
        <v>18</v>
      </c>
      <c r="O15" s="8" t="str">
        <f>"001440"</f>
        <v>001440</v>
      </c>
      <c r="P15" s="7">
        <v>43598</v>
      </c>
      <c r="Q15" s="10">
        <v>48.139200000000002</v>
      </c>
      <c r="R15" s="10">
        <v>8.3949499999999997</v>
      </c>
      <c r="S15" s="10">
        <v>39.744250000000001</v>
      </c>
      <c r="T15" s="8">
        <v>48</v>
      </c>
      <c r="U15" s="7">
        <v>43601</v>
      </c>
      <c r="V15" s="8">
        <v>9945568501</v>
      </c>
      <c r="W15" s="9" t="s">
        <v>43</v>
      </c>
      <c r="X15" s="8" t="s">
        <v>36</v>
      </c>
      <c r="Y15" s="9" t="s">
        <v>37</v>
      </c>
      <c r="Z15" s="8" t="s">
        <v>48</v>
      </c>
      <c r="AA15" s="9" t="s">
        <v>49</v>
      </c>
      <c r="AB15" s="10">
        <f t="shared" si="0"/>
        <v>0.48139200000000004</v>
      </c>
    </row>
    <row r="16" spans="1:28" s="4" customFormat="1" ht="13" x14ac:dyDescent="0.3">
      <c r="A16" s="5">
        <v>2097</v>
      </c>
      <c r="B16" s="6" t="s">
        <v>34</v>
      </c>
      <c r="C16" s="7">
        <v>43601</v>
      </c>
      <c r="D16" s="8">
        <v>60</v>
      </c>
      <c r="E16" s="9" t="s">
        <v>53</v>
      </c>
      <c r="F16" s="8" t="s">
        <v>117</v>
      </c>
      <c r="G16" s="9" t="s">
        <v>118</v>
      </c>
      <c r="H16" s="8" t="str">
        <f>"000072"</f>
        <v>000072</v>
      </c>
      <c r="I16" s="7">
        <v>43342</v>
      </c>
      <c r="J16" s="8" t="str">
        <f>"000154"</f>
        <v>000154</v>
      </c>
      <c r="K16" s="7">
        <v>43474</v>
      </c>
      <c r="L16" s="8" t="str">
        <f>"000272"</f>
        <v>000272</v>
      </c>
      <c r="M16" s="7">
        <v>43474</v>
      </c>
      <c r="N16" s="8">
        <v>18</v>
      </c>
      <c r="O16" s="8" t="str">
        <f>"001441"</f>
        <v>001441</v>
      </c>
      <c r="P16" s="7">
        <v>43598</v>
      </c>
      <c r="Q16" s="10">
        <v>55.851199999999999</v>
      </c>
      <c r="R16" s="10">
        <v>8.7088599999999996</v>
      </c>
      <c r="S16" s="10">
        <v>47.142339999999997</v>
      </c>
      <c r="T16" s="8">
        <v>48</v>
      </c>
      <c r="U16" s="7">
        <v>43601</v>
      </c>
      <c r="V16" s="8">
        <v>9945568501</v>
      </c>
      <c r="W16" s="9" t="s">
        <v>43</v>
      </c>
      <c r="X16" s="8" t="s">
        <v>36</v>
      </c>
      <c r="Y16" s="9" t="s">
        <v>37</v>
      </c>
      <c r="Z16" s="8" t="s">
        <v>48</v>
      </c>
      <c r="AA16" s="9" t="s">
        <v>49</v>
      </c>
      <c r="AB16" s="10">
        <f t="shared" si="0"/>
        <v>0.55851200000000001</v>
      </c>
    </row>
    <row r="17" spans="1:28" s="4" customFormat="1" ht="13" x14ac:dyDescent="0.3">
      <c r="A17" s="5">
        <v>2098</v>
      </c>
      <c r="B17" s="6" t="s">
        <v>31</v>
      </c>
      <c r="C17" s="7">
        <v>43622</v>
      </c>
      <c r="D17" s="8">
        <v>60</v>
      </c>
      <c r="E17" s="9" t="s">
        <v>53</v>
      </c>
      <c r="F17" s="8" t="s">
        <v>71</v>
      </c>
      <c r="G17" s="9" t="s">
        <v>72</v>
      </c>
      <c r="H17" s="8" t="str">
        <f>"000195"</f>
        <v>000195</v>
      </c>
      <c r="I17" s="7">
        <v>43112</v>
      </c>
      <c r="J17" s="8" t="str">
        <f>"000181"</f>
        <v>000181</v>
      </c>
      <c r="K17" s="7">
        <v>43509</v>
      </c>
      <c r="L17" s="8" t="str">
        <f>"000329"</f>
        <v>000329</v>
      </c>
      <c r="M17" s="7">
        <v>43516</v>
      </c>
      <c r="N17" s="8">
        <v>18</v>
      </c>
      <c r="O17" s="8" t="str">
        <f>"002294"</f>
        <v>002294</v>
      </c>
      <c r="P17" s="7">
        <v>43615</v>
      </c>
      <c r="Q17" s="10">
        <v>13.00863</v>
      </c>
      <c r="R17" s="10">
        <v>0.63605999999999996</v>
      </c>
      <c r="S17" s="10">
        <v>12.37257</v>
      </c>
      <c r="T17" s="8">
        <v>70</v>
      </c>
      <c r="U17" s="7">
        <v>43622</v>
      </c>
      <c r="V17" s="8">
        <v>9945568501</v>
      </c>
      <c r="W17" s="9" t="s">
        <v>52</v>
      </c>
      <c r="X17" s="8" t="s">
        <v>36</v>
      </c>
      <c r="Y17" s="9" t="s">
        <v>37</v>
      </c>
      <c r="Z17" s="8" t="s">
        <v>48</v>
      </c>
      <c r="AA17" s="9" t="s">
        <v>49</v>
      </c>
      <c r="AB17" s="10">
        <v>0.13008629999999999</v>
      </c>
    </row>
    <row r="18" spans="1:28" s="4" customFormat="1" ht="13" x14ac:dyDescent="0.3">
      <c r="A18" s="5">
        <v>2099</v>
      </c>
      <c r="B18" s="6" t="s">
        <v>31</v>
      </c>
      <c r="C18" s="7">
        <v>43622</v>
      </c>
      <c r="D18" s="8">
        <v>60</v>
      </c>
      <c r="E18" s="9" t="s">
        <v>53</v>
      </c>
      <c r="F18" s="8" t="s">
        <v>73</v>
      </c>
      <c r="G18" s="9" t="s">
        <v>74</v>
      </c>
      <c r="H18" s="8" t="str">
        <f>"000213"</f>
        <v>000213</v>
      </c>
      <c r="I18" s="7">
        <v>43406</v>
      </c>
      <c r="J18" s="8" t="str">
        <f>"000198"</f>
        <v>000198</v>
      </c>
      <c r="K18" s="7">
        <v>43531</v>
      </c>
      <c r="L18" s="8" t="str">
        <f>"000369"</f>
        <v>000369</v>
      </c>
      <c r="M18" s="7">
        <v>43542</v>
      </c>
      <c r="N18" s="8">
        <v>18</v>
      </c>
      <c r="O18" s="8" t="str">
        <f>"002306"</f>
        <v>002306</v>
      </c>
      <c r="P18" s="7">
        <v>43615</v>
      </c>
      <c r="Q18" s="10">
        <v>9.8790999999999993</v>
      </c>
      <c r="R18" s="10">
        <v>1.1066199999999999</v>
      </c>
      <c r="S18" s="10">
        <v>8.7724799999999998</v>
      </c>
      <c r="T18" s="8">
        <v>70</v>
      </c>
      <c r="U18" s="7">
        <v>43622</v>
      </c>
      <c r="V18" s="8">
        <v>9945568501</v>
      </c>
      <c r="W18" s="9" t="s">
        <v>43</v>
      </c>
      <c r="X18" s="8" t="s">
        <v>36</v>
      </c>
      <c r="Y18" s="9" t="s">
        <v>37</v>
      </c>
      <c r="Z18" s="8" t="s">
        <v>48</v>
      </c>
      <c r="AA18" s="9" t="s">
        <v>49</v>
      </c>
      <c r="AB18" s="10">
        <v>9.879099999999999E-2</v>
      </c>
    </row>
    <row r="19" spans="1:28" s="4" customFormat="1" ht="13" x14ac:dyDescent="0.3">
      <c r="A19" s="5">
        <v>2100</v>
      </c>
      <c r="B19" s="6" t="s">
        <v>31</v>
      </c>
      <c r="C19" s="7">
        <v>43622</v>
      </c>
      <c r="D19" s="8">
        <v>60</v>
      </c>
      <c r="E19" s="9" t="s">
        <v>53</v>
      </c>
      <c r="F19" s="8" t="s">
        <v>75</v>
      </c>
      <c r="G19" s="9" t="s">
        <v>76</v>
      </c>
      <c r="H19" s="8" t="str">
        <f>"000207"</f>
        <v>000207</v>
      </c>
      <c r="I19" s="7">
        <v>43406</v>
      </c>
      <c r="J19" s="8" t="str">
        <f>"000204"</f>
        <v>000204</v>
      </c>
      <c r="K19" s="7">
        <v>43531</v>
      </c>
      <c r="L19" s="8" t="str">
        <f>"000370"</f>
        <v>000370</v>
      </c>
      <c r="M19" s="7">
        <v>43542</v>
      </c>
      <c r="N19" s="8">
        <v>18</v>
      </c>
      <c r="O19" s="8" t="str">
        <f>"002307"</f>
        <v>002307</v>
      </c>
      <c r="P19" s="7">
        <v>43615</v>
      </c>
      <c r="Q19" s="10">
        <v>9.8178699999999992</v>
      </c>
      <c r="R19" s="10">
        <v>1.1024700000000001</v>
      </c>
      <c r="S19" s="10">
        <v>8.7154000000000007</v>
      </c>
      <c r="T19" s="8">
        <v>70</v>
      </c>
      <c r="U19" s="7">
        <v>43622</v>
      </c>
      <c r="V19" s="8">
        <v>9945568501</v>
      </c>
      <c r="W19" s="9" t="s">
        <v>43</v>
      </c>
      <c r="X19" s="8" t="s">
        <v>36</v>
      </c>
      <c r="Y19" s="9" t="s">
        <v>37</v>
      </c>
      <c r="Z19" s="8" t="s">
        <v>48</v>
      </c>
      <c r="AA19" s="9" t="s">
        <v>49</v>
      </c>
      <c r="AB19" s="10">
        <v>9.8178699999999994E-2</v>
      </c>
    </row>
    <row r="20" spans="1:28" s="4" customFormat="1" ht="13" x14ac:dyDescent="0.3">
      <c r="A20" s="5">
        <v>2101</v>
      </c>
      <c r="B20" s="6" t="s">
        <v>31</v>
      </c>
      <c r="C20" s="7">
        <v>43622</v>
      </c>
      <c r="D20" s="8">
        <v>60</v>
      </c>
      <c r="E20" s="9" t="s">
        <v>53</v>
      </c>
      <c r="F20" s="8" t="s">
        <v>77</v>
      </c>
      <c r="G20" s="9" t="s">
        <v>78</v>
      </c>
      <c r="H20" s="8" t="str">
        <f>"000214"</f>
        <v>000214</v>
      </c>
      <c r="I20" s="7">
        <v>43406</v>
      </c>
      <c r="J20" s="8" t="str">
        <f>"000201"</f>
        <v>000201</v>
      </c>
      <c r="K20" s="7">
        <v>43531</v>
      </c>
      <c r="L20" s="8" t="str">
        <f>"000371"</f>
        <v>000371</v>
      </c>
      <c r="M20" s="7">
        <v>43542</v>
      </c>
      <c r="N20" s="8">
        <v>18</v>
      </c>
      <c r="O20" s="8" t="str">
        <f>"002308"</f>
        <v>002308</v>
      </c>
      <c r="P20" s="7">
        <v>43615</v>
      </c>
      <c r="Q20" s="10">
        <v>9.7998600000000007</v>
      </c>
      <c r="R20" s="10">
        <v>1.0998000000000001</v>
      </c>
      <c r="S20" s="10">
        <v>8.7000600000000006</v>
      </c>
      <c r="T20" s="8">
        <v>70</v>
      </c>
      <c r="U20" s="7">
        <v>43622</v>
      </c>
      <c r="V20" s="8">
        <v>9945568501</v>
      </c>
      <c r="W20" s="9" t="s">
        <v>43</v>
      </c>
      <c r="X20" s="8" t="s">
        <v>36</v>
      </c>
      <c r="Y20" s="9" t="s">
        <v>37</v>
      </c>
      <c r="Z20" s="8" t="s">
        <v>48</v>
      </c>
      <c r="AA20" s="9" t="s">
        <v>49</v>
      </c>
      <c r="AB20" s="10">
        <v>9.7998600000000005E-2</v>
      </c>
    </row>
    <row r="21" spans="1:28" s="4" customFormat="1" ht="13" x14ac:dyDescent="0.3">
      <c r="A21" s="5">
        <v>2102</v>
      </c>
      <c r="B21" s="6" t="s">
        <v>31</v>
      </c>
      <c r="C21" s="7">
        <v>43622</v>
      </c>
      <c r="D21" s="8">
        <v>60</v>
      </c>
      <c r="E21" s="9" t="s">
        <v>53</v>
      </c>
      <c r="F21" s="8" t="s">
        <v>79</v>
      </c>
      <c r="G21" s="9" t="s">
        <v>80</v>
      </c>
      <c r="H21" s="8" t="str">
        <f>"000210"</f>
        <v>000210</v>
      </c>
      <c r="I21" s="7">
        <v>43406</v>
      </c>
      <c r="J21" s="8" t="str">
        <f>"000199"</f>
        <v>000199</v>
      </c>
      <c r="K21" s="7">
        <v>43531</v>
      </c>
      <c r="L21" s="8" t="str">
        <f>"000367"</f>
        <v>000367</v>
      </c>
      <c r="M21" s="7">
        <v>43542</v>
      </c>
      <c r="N21" s="8">
        <v>18</v>
      </c>
      <c r="O21" s="8" t="str">
        <f>"002309"</f>
        <v>002309</v>
      </c>
      <c r="P21" s="7">
        <v>43615</v>
      </c>
      <c r="Q21" s="10">
        <v>9.8275100000000002</v>
      </c>
      <c r="R21" s="10">
        <v>1.10405</v>
      </c>
      <c r="S21" s="10">
        <v>8.7234599999999993</v>
      </c>
      <c r="T21" s="8">
        <v>70</v>
      </c>
      <c r="U21" s="7">
        <v>43622</v>
      </c>
      <c r="V21" s="8">
        <v>9945568501</v>
      </c>
      <c r="W21" s="9" t="s">
        <v>43</v>
      </c>
      <c r="X21" s="8" t="s">
        <v>36</v>
      </c>
      <c r="Y21" s="9" t="s">
        <v>37</v>
      </c>
      <c r="Z21" s="8" t="s">
        <v>48</v>
      </c>
      <c r="AA21" s="9" t="s">
        <v>49</v>
      </c>
      <c r="AB21" s="10">
        <v>9.8275100000000004E-2</v>
      </c>
    </row>
    <row r="22" spans="1:28" s="4" customFormat="1" ht="13" x14ac:dyDescent="0.3">
      <c r="A22" s="5">
        <v>2103</v>
      </c>
      <c r="B22" s="6" t="s">
        <v>31</v>
      </c>
      <c r="C22" s="7">
        <v>43622</v>
      </c>
      <c r="D22" s="8">
        <v>60</v>
      </c>
      <c r="E22" s="9" t="s">
        <v>53</v>
      </c>
      <c r="F22" s="8" t="s">
        <v>81</v>
      </c>
      <c r="G22" s="9" t="s">
        <v>82</v>
      </c>
      <c r="H22" s="8" t="str">
        <f>"000204"</f>
        <v>000204</v>
      </c>
      <c r="I22" s="7">
        <v>43120</v>
      </c>
      <c r="J22" s="8" t="str">
        <f>"000210"</f>
        <v>000210</v>
      </c>
      <c r="K22" s="7">
        <v>43543</v>
      </c>
      <c r="L22" s="8" t="str">
        <f>"000375"</f>
        <v>000375</v>
      </c>
      <c r="M22" s="7">
        <v>43544</v>
      </c>
      <c r="N22" s="8">
        <v>18</v>
      </c>
      <c r="O22" s="8" t="str">
        <f>"002310"</f>
        <v>002310</v>
      </c>
      <c r="P22" s="7">
        <v>43615</v>
      </c>
      <c r="Q22" s="10">
        <v>9.82484</v>
      </c>
      <c r="R22" s="10">
        <v>0.88305</v>
      </c>
      <c r="S22" s="10">
        <v>8.9417899999999992</v>
      </c>
      <c r="T22" s="8">
        <v>70</v>
      </c>
      <c r="U22" s="7">
        <v>43622</v>
      </c>
      <c r="V22" s="8">
        <v>9980140409</v>
      </c>
      <c r="W22" s="9" t="s">
        <v>83</v>
      </c>
      <c r="X22" s="8" t="s">
        <v>36</v>
      </c>
      <c r="Y22" s="9" t="s">
        <v>37</v>
      </c>
      <c r="Z22" s="8" t="s">
        <v>48</v>
      </c>
      <c r="AA22" s="9" t="s">
        <v>49</v>
      </c>
      <c r="AB22" s="10">
        <v>9.82484E-2</v>
      </c>
    </row>
    <row r="23" spans="1:28" s="4" customFormat="1" ht="13" x14ac:dyDescent="0.3">
      <c r="A23" s="5">
        <v>2104</v>
      </c>
      <c r="B23" s="6" t="s">
        <v>31</v>
      </c>
      <c r="C23" s="7">
        <v>43622</v>
      </c>
      <c r="D23" s="8">
        <v>60</v>
      </c>
      <c r="E23" s="9" t="s">
        <v>53</v>
      </c>
      <c r="F23" s="8" t="s">
        <v>84</v>
      </c>
      <c r="G23" s="9" t="s">
        <v>85</v>
      </c>
      <c r="H23" s="8" t="str">
        <f>"000212"</f>
        <v>000212</v>
      </c>
      <c r="I23" s="7">
        <v>43406</v>
      </c>
      <c r="J23" s="8" t="str">
        <f>"000202"</f>
        <v>000202</v>
      </c>
      <c r="K23" s="7">
        <v>43531</v>
      </c>
      <c r="L23" s="8" t="str">
        <f>"000366"</f>
        <v>000366</v>
      </c>
      <c r="M23" s="7">
        <v>43542</v>
      </c>
      <c r="N23" s="8">
        <v>18</v>
      </c>
      <c r="O23" s="8" t="str">
        <f>"002311"</f>
        <v>002311</v>
      </c>
      <c r="P23" s="7">
        <v>43615</v>
      </c>
      <c r="Q23" s="10">
        <v>9.8159500000000008</v>
      </c>
      <c r="R23" s="10">
        <v>1.10318</v>
      </c>
      <c r="S23" s="10">
        <v>8.7127700000000008</v>
      </c>
      <c r="T23" s="8">
        <v>70</v>
      </c>
      <c r="U23" s="7">
        <v>43622</v>
      </c>
      <c r="V23" s="8">
        <v>9945568501</v>
      </c>
      <c r="W23" s="9" t="s">
        <v>43</v>
      </c>
      <c r="X23" s="8" t="s">
        <v>36</v>
      </c>
      <c r="Y23" s="9" t="s">
        <v>37</v>
      </c>
      <c r="Z23" s="8" t="s">
        <v>48</v>
      </c>
      <c r="AA23" s="9" t="s">
        <v>49</v>
      </c>
      <c r="AB23" s="10">
        <v>9.8159500000000011E-2</v>
      </c>
    </row>
    <row r="24" spans="1:28" s="4" customFormat="1" ht="13" x14ac:dyDescent="0.3">
      <c r="A24" s="5">
        <v>2105</v>
      </c>
      <c r="B24" s="6" t="s">
        <v>31</v>
      </c>
      <c r="C24" s="7">
        <v>43622</v>
      </c>
      <c r="D24" s="8">
        <v>60</v>
      </c>
      <c r="E24" s="9" t="s">
        <v>53</v>
      </c>
      <c r="F24" s="8" t="s">
        <v>86</v>
      </c>
      <c r="G24" s="9" t="s">
        <v>87</v>
      </c>
      <c r="H24" s="8" t="str">
        <f>"000209"</f>
        <v>000209</v>
      </c>
      <c r="I24" s="7">
        <v>43406</v>
      </c>
      <c r="J24" s="8" t="str">
        <f>"000200"</f>
        <v>000200</v>
      </c>
      <c r="K24" s="7">
        <v>43531</v>
      </c>
      <c r="L24" s="8" t="str">
        <f>"000365"</f>
        <v>000365</v>
      </c>
      <c r="M24" s="7">
        <v>43542</v>
      </c>
      <c r="N24" s="8">
        <v>18</v>
      </c>
      <c r="O24" s="8" t="str">
        <f>"002312"</f>
        <v>002312</v>
      </c>
      <c r="P24" s="7">
        <v>43615</v>
      </c>
      <c r="Q24" s="10">
        <v>9.8264399999999998</v>
      </c>
      <c r="R24" s="10">
        <v>1.1010800000000001</v>
      </c>
      <c r="S24" s="10">
        <v>8.7253600000000002</v>
      </c>
      <c r="T24" s="8">
        <v>70</v>
      </c>
      <c r="U24" s="7">
        <v>43622</v>
      </c>
      <c r="V24" s="8">
        <v>9945568501</v>
      </c>
      <c r="W24" s="9" t="s">
        <v>43</v>
      </c>
      <c r="X24" s="8" t="s">
        <v>36</v>
      </c>
      <c r="Y24" s="9" t="s">
        <v>37</v>
      </c>
      <c r="Z24" s="8" t="s">
        <v>48</v>
      </c>
      <c r="AA24" s="9" t="s">
        <v>49</v>
      </c>
      <c r="AB24" s="10">
        <v>9.8264400000000002E-2</v>
      </c>
    </row>
    <row r="25" spans="1:28" s="4" customFormat="1" ht="13" x14ac:dyDescent="0.3">
      <c r="A25" s="5">
        <v>2106</v>
      </c>
      <c r="B25" s="6" t="s">
        <v>31</v>
      </c>
      <c r="C25" s="7">
        <v>43622</v>
      </c>
      <c r="D25" s="8">
        <v>60</v>
      </c>
      <c r="E25" s="9" t="s">
        <v>53</v>
      </c>
      <c r="F25" s="8" t="s">
        <v>88</v>
      </c>
      <c r="G25" s="9" t="s">
        <v>89</v>
      </c>
      <c r="H25" s="8" t="str">
        <f>"000220"</f>
        <v>000220</v>
      </c>
      <c r="I25" s="7">
        <v>43409</v>
      </c>
      <c r="J25" s="8" t="str">
        <f>"000209"</f>
        <v>000209</v>
      </c>
      <c r="K25" s="7">
        <v>43543</v>
      </c>
      <c r="L25" s="8" t="str">
        <f>"000374"</f>
        <v>000374</v>
      </c>
      <c r="M25" s="7">
        <v>43544</v>
      </c>
      <c r="N25" s="8">
        <v>18</v>
      </c>
      <c r="O25" s="8" t="str">
        <f>"002313"</f>
        <v>002313</v>
      </c>
      <c r="P25" s="7">
        <v>43615</v>
      </c>
      <c r="Q25" s="10">
        <v>9.8422900000000002</v>
      </c>
      <c r="R25" s="10">
        <v>1.10981</v>
      </c>
      <c r="S25" s="10">
        <v>8.7324800000000007</v>
      </c>
      <c r="T25" s="8">
        <v>70</v>
      </c>
      <c r="U25" s="7">
        <v>43622</v>
      </c>
      <c r="V25" s="8">
        <v>9945568501</v>
      </c>
      <c r="W25" s="9" t="s">
        <v>43</v>
      </c>
      <c r="X25" s="8" t="s">
        <v>36</v>
      </c>
      <c r="Y25" s="9" t="s">
        <v>37</v>
      </c>
      <c r="Z25" s="8" t="s">
        <v>48</v>
      </c>
      <c r="AA25" s="9" t="s">
        <v>49</v>
      </c>
      <c r="AB25" s="10">
        <v>9.8422900000000008E-2</v>
      </c>
    </row>
    <row r="26" spans="1:28" s="4" customFormat="1" ht="13" x14ac:dyDescent="0.3">
      <c r="A26" s="5">
        <v>2107</v>
      </c>
      <c r="B26" s="6" t="s">
        <v>31</v>
      </c>
      <c r="C26" s="7">
        <v>43622</v>
      </c>
      <c r="D26" s="8">
        <v>60</v>
      </c>
      <c r="E26" s="9" t="s">
        <v>53</v>
      </c>
      <c r="F26" s="8" t="s">
        <v>90</v>
      </c>
      <c r="G26" s="9" t="s">
        <v>91</v>
      </c>
      <c r="H26" s="8" t="str">
        <f>"000208"</f>
        <v>000208</v>
      </c>
      <c r="I26" s="7">
        <v>43406</v>
      </c>
      <c r="J26" s="8" t="str">
        <f>"000207"</f>
        <v>000207</v>
      </c>
      <c r="K26" s="7">
        <v>43543</v>
      </c>
      <c r="L26" s="8" t="str">
        <f>"000372"</f>
        <v>000372</v>
      </c>
      <c r="M26" s="7">
        <v>43544</v>
      </c>
      <c r="N26" s="8">
        <v>18</v>
      </c>
      <c r="O26" s="8" t="str">
        <f>"002314"</f>
        <v>002314</v>
      </c>
      <c r="P26" s="7">
        <v>43615</v>
      </c>
      <c r="Q26" s="10">
        <v>19.75168</v>
      </c>
      <c r="R26" s="10">
        <v>2.2236500000000001</v>
      </c>
      <c r="S26" s="10">
        <v>17.528030000000001</v>
      </c>
      <c r="T26" s="8">
        <v>70</v>
      </c>
      <c r="U26" s="7">
        <v>43622</v>
      </c>
      <c r="V26" s="8">
        <v>9945568501</v>
      </c>
      <c r="W26" s="9" t="s">
        <v>43</v>
      </c>
      <c r="X26" s="8" t="s">
        <v>36</v>
      </c>
      <c r="Y26" s="9" t="s">
        <v>37</v>
      </c>
      <c r="Z26" s="8" t="s">
        <v>48</v>
      </c>
      <c r="AA26" s="9" t="s">
        <v>49</v>
      </c>
      <c r="AB26" s="10">
        <v>0.19751679999999999</v>
      </c>
    </row>
    <row r="27" spans="1:28" s="4" customFormat="1" ht="13" x14ac:dyDescent="0.3">
      <c r="A27" s="5">
        <v>2108</v>
      </c>
      <c r="B27" s="6" t="s">
        <v>31</v>
      </c>
      <c r="C27" s="7">
        <v>43622</v>
      </c>
      <c r="D27" s="8">
        <v>60</v>
      </c>
      <c r="E27" s="9" t="s">
        <v>53</v>
      </c>
      <c r="F27" s="8" t="s">
        <v>92</v>
      </c>
      <c r="G27" s="9" t="s">
        <v>93</v>
      </c>
      <c r="H27" s="8" t="str">
        <f>"000029"</f>
        <v>000029</v>
      </c>
      <c r="I27" s="7">
        <v>43406</v>
      </c>
      <c r="J27" s="8" t="str">
        <f>"000026"</f>
        <v>000026</v>
      </c>
      <c r="K27" s="7">
        <v>43427</v>
      </c>
      <c r="L27" s="8" t="str">
        <f>"000047"</f>
        <v>000047</v>
      </c>
      <c r="M27" s="7">
        <v>43428</v>
      </c>
      <c r="N27" s="8">
        <v>18</v>
      </c>
      <c r="O27" s="8" t="str">
        <f>"002390"</f>
        <v>002390</v>
      </c>
      <c r="P27" s="7">
        <v>43619</v>
      </c>
      <c r="Q27" s="10">
        <v>24.978000000000002</v>
      </c>
      <c r="R27" s="10">
        <v>2.7227000000000001</v>
      </c>
      <c r="S27" s="10">
        <v>22.255299999999998</v>
      </c>
      <c r="T27" s="8">
        <v>71</v>
      </c>
      <c r="U27" s="7">
        <v>43622</v>
      </c>
      <c r="V27" s="8">
        <v>8022975815</v>
      </c>
      <c r="W27" s="9" t="s">
        <v>52</v>
      </c>
      <c r="X27" s="8" t="s">
        <v>94</v>
      </c>
      <c r="Y27" s="9" t="s">
        <v>95</v>
      </c>
      <c r="Z27" s="8" t="s">
        <v>96</v>
      </c>
      <c r="AA27" s="9" t="s">
        <v>97</v>
      </c>
      <c r="AB27" s="10">
        <v>0.24978</v>
      </c>
    </row>
    <row r="28" spans="1:28" s="4" customFormat="1" ht="13" x14ac:dyDescent="0.3">
      <c r="A28" s="5">
        <v>2109</v>
      </c>
      <c r="B28" s="6" t="s">
        <v>31</v>
      </c>
      <c r="C28" s="7">
        <v>43622</v>
      </c>
      <c r="D28" s="8">
        <v>60</v>
      </c>
      <c r="E28" s="9" t="s">
        <v>53</v>
      </c>
      <c r="F28" s="8" t="s">
        <v>98</v>
      </c>
      <c r="G28" s="9" t="s">
        <v>99</v>
      </c>
      <c r="H28" s="8" t="str">
        <f>"000028"</f>
        <v>000028</v>
      </c>
      <c r="I28" s="7">
        <v>43406</v>
      </c>
      <c r="J28" s="8" t="str">
        <f>"000027"</f>
        <v>000027</v>
      </c>
      <c r="K28" s="7">
        <v>43427</v>
      </c>
      <c r="L28" s="8" t="str">
        <f>"000048"</f>
        <v>000048</v>
      </c>
      <c r="M28" s="7">
        <v>43428</v>
      </c>
      <c r="N28" s="8">
        <v>18</v>
      </c>
      <c r="O28" s="8" t="str">
        <f>"002391"</f>
        <v>002391</v>
      </c>
      <c r="P28" s="7">
        <v>43619</v>
      </c>
      <c r="Q28" s="10">
        <v>24.991</v>
      </c>
      <c r="R28" s="10">
        <v>22.246300000000002</v>
      </c>
      <c r="S28" s="10">
        <v>2.7446999999999999</v>
      </c>
      <c r="T28" s="8">
        <v>71</v>
      </c>
      <c r="U28" s="7">
        <v>43622</v>
      </c>
      <c r="V28" s="8">
        <v>8022975815</v>
      </c>
      <c r="W28" s="9" t="s">
        <v>43</v>
      </c>
      <c r="X28" s="8" t="s">
        <v>94</v>
      </c>
      <c r="Y28" s="9" t="s">
        <v>95</v>
      </c>
      <c r="Z28" s="8" t="s">
        <v>96</v>
      </c>
      <c r="AA28" s="9" t="s">
        <v>97</v>
      </c>
      <c r="AB28" s="10">
        <v>0.24990999999999999</v>
      </c>
    </row>
    <row r="29" spans="1:28" s="4" customFormat="1" ht="13" x14ac:dyDescent="0.3">
      <c r="A29" s="5">
        <v>2110</v>
      </c>
      <c r="B29" s="6" t="s">
        <v>31</v>
      </c>
      <c r="C29" s="7">
        <v>43634</v>
      </c>
      <c r="D29" s="8">
        <v>60</v>
      </c>
      <c r="E29" s="9" t="s">
        <v>53</v>
      </c>
      <c r="F29" s="8" t="s">
        <v>100</v>
      </c>
      <c r="G29" s="9" t="s">
        <v>101</v>
      </c>
      <c r="H29" s="8" t="str">
        <f>"000105"</f>
        <v>000105</v>
      </c>
      <c r="I29" s="7">
        <v>43031</v>
      </c>
      <c r="J29" s="8" t="str">
        <f>"000029"</f>
        <v>000029</v>
      </c>
      <c r="K29" s="7">
        <v>43085</v>
      </c>
      <c r="L29" s="8" t="str">
        <f>"000056"</f>
        <v>000056</v>
      </c>
      <c r="M29" s="7">
        <v>43088</v>
      </c>
      <c r="N29" s="8">
        <v>17</v>
      </c>
      <c r="O29" s="8" t="str">
        <f>"002686"</f>
        <v>002686</v>
      </c>
      <c r="P29" s="7">
        <v>43628</v>
      </c>
      <c r="Q29" s="10">
        <v>19.725519999999999</v>
      </c>
      <c r="R29" s="10">
        <v>0.88263000000000003</v>
      </c>
      <c r="S29" s="10">
        <v>18.842890000000001</v>
      </c>
      <c r="T29" s="8">
        <v>88</v>
      </c>
      <c r="U29" s="7">
        <v>43634</v>
      </c>
      <c r="V29" s="8">
        <v>9886628834</v>
      </c>
      <c r="W29" s="9" t="s">
        <v>102</v>
      </c>
      <c r="X29" s="8" t="s">
        <v>32</v>
      </c>
      <c r="Y29" s="9" t="s">
        <v>33</v>
      </c>
      <c r="Z29" s="8" t="s">
        <v>48</v>
      </c>
      <c r="AA29" s="9" t="s">
        <v>49</v>
      </c>
      <c r="AB29" s="10">
        <v>0.19725519999999999</v>
      </c>
    </row>
    <row r="30" spans="1:28" s="4" customFormat="1" ht="13" x14ac:dyDescent="0.3">
      <c r="A30" s="5">
        <v>2111</v>
      </c>
      <c r="B30" s="6" t="s">
        <v>31</v>
      </c>
      <c r="C30" s="7">
        <v>43636</v>
      </c>
      <c r="D30" s="8">
        <v>60</v>
      </c>
      <c r="E30" s="9" t="s">
        <v>53</v>
      </c>
      <c r="F30" s="8" t="s">
        <v>103</v>
      </c>
      <c r="G30" s="9" t="s">
        <v>104</v>
      </c>
      <c r="H30" s="8" t="str">
        <f>"000162"</f>
        <v>000162</v>
      </c>
      <c r="I30" s="7">
        <v>43095</v>
      </c>
      <c r="J30" s="8" t="str">
        <f>"000046"</f>
        <v>000046</v>
      </c>
      <c r="K30" s="7">
        <v>43587</v>
      </c>
      <c r="L30" s="8" t="str">
        <f>"000044"</f>
        <v>000044</v>
      </c>
      <c r="M30" s="7">
        <v>43587</v>
      </c>
      <c r="N30" s="8">
        <v>18</v>
      </c>
      <c r="O30" s="8" t="str">
        <f>"002821"</f>
        <v>002821</v>
      </c>
      <c r="P30" s="7">
        <v>43633</v>
      </c>
      <c r="Q30" s="10">
        <v>9.8747699999999998</v>
      </c>
      <c r="R30" s="10">
        <v>0.34150000000000003</v>
      </c>
      <c r="S30" s="10">
        <v>9.5332699999999999</v>
      </c>
      <c r="T30" s="8">
        <v>90</v>
      </c>
      <c r="U30" s="7">
        <v>43636</v>
      </c>
      <c r="V30" s="8">
        <v>9945568501</v>
      </c>
      <c r="W30" s="9" t="s">
        <v>52</v>
      </c>
      <c r="X30" s="8" t="s">
        <v>58</v>
      </c>
      <c r="Y30" s="9" t="s">
        <v>59</v>
      </c>
      <c r="Z30" s="8" t="s">
        <v>48</v>
      </c>
      <c r="AA30" s="9" t="s">
        <v>49</v>
      </c>
      <c r="AB30" s="10">
        <v>9.8747699999999994E-2</v>
      </c>
    </row>
    <row r="31" spans="1:28" s="4" customFormat="1" ht="13" x14ac:dyDescent="0.3">
      <c r="A31" s="5">
        <v>2112</v>
      </c>
      <c r="B31" s="6" t="s">
        <v>119</v>
      </c>
      <c r="C31" s="7">
        <v>43647</v>
      </c>
      <c r="D31" s="8">
        <v>60</v>
      </c>
      <c r="E31" s="9" t="s">
        <v>53</v>
      </c>
      <c r="F31" s="8" t="s">
        <v>113</v>
      </c>
      <c r="G31" s="11" t="s">
        <v>114</v>
      </c>
      <c r="H31" s="8" t="str">
        <f>"000225"</f>
        <v>000225</v>
      </c>
      <c r="I31" s="7">
        <v>43413</v>
      </c>
      <c r="J31" s="8" t="str">
        <f>"000048"</f>
        <v>000048</v>
      </c>
      <c r="K31" s="7">
        <v>43587</v>
      </c>
      <c r="L31" s="8" t="str">
        <f>"000045"</f>
        <v>000045</v>
      </c>
      <c r="M31" s="7">
        <v>43587</v>
      </c>
      <c r="N31" s="8">
        <v>18</v>
      </c>
      <c r="O31" s="8" t="str">
        <f>"002957"</f>
        <v>002957</v>
      </c>
      <c r="P31" s="7">
        <v>43640</v>
      </c>
      <c r="Q31" s="12">
        <v>13.6655</v>
      </c>
      <c r="R31" s="12">
        <v>0.46729999999999999</v>
      </c>
      <c r="S31" s="12">
        <v>13.1982</v>
      </c>
      <c r="T31" s="8">
        <v>97</v>
      </c>
      <c r="U31" s="7">
        <v>43647</v>
      </c>
      <c r="V31" s="8">
        <v>9945568501</v>
      </c>
      <c r="W31" s="11" t="s">
        <v>43</v>
      </c>
      <c r="X31" s="8" t="s">
        <v>58</v>
      </c>
      <c r="Y31" s="11" t="s">
        <v>59</v>
      </c>
      <c r="Z31" s="8" t="s">
        <v>48</v>
      </c>
      <c r="AA31" s="11" t="s">
        <v>49</v>
      </c>
      <c r="AB31" s="12">
        <f t="shared" ref="AB31:AB51" si="1">Q31/100</f>
        <v>0.136655</v>
      </c>
    </row>
    <row r="32" spans="1:28" s="4" customFormat="1" ht="13" x14ac:dyDescent="0.3">
      <c r="A32" s="5">
        <v>2113</v>
      </c>
      <c r="B32" s="6" t="s">
        <v>119</v>
      </c>
      <c r="C32" s="7">
        <v>43647</v>
      </c>
      <c r="D32" s="8">
        <v>60</v>
      </c>
      <c r="E32" s="9" t="s">
        <v>53</v>
      </c>
      <c r="F32" s="8" t="s">
        <v>117</v>
      </c>
      <c r="G32" s="11" t="s">
        <v>118</v>
      </c>
      <c r="H32" s="8" t="str">
        <f>"000072"</f>
        <v>000072</v>
      </c>
      <c r="I32" s="7">
        <v>43342</v>
      </c>
      <c r="J32" s="8" t="str">
        <f>"000047"</f>
        <v>000047</v>
      </c>
      <c r="K32" s="7">
        <v>43587</v>
      </c>
      <c r="L32" s="8" t="str">
        <f>"000046"</f>
        <v>000046</v>
      </c>
      <c r="M32" s="7">
        <v>43587</v>
      </c>
      <c r="N32" s="8">
        <v>18</v>
      </c>
      <c r="O32" s="8" t="str">
        <f>"002958"</f>
        <v>002958</v>
      </c>
      <c r="P32" s="7">
        <v>43640</v>
      </c>
      <c r="Q32" s="12">
        <v>43.629159999999999</v>
      </c>
      <c r="R32" s="12">
        <v>2.1395499999999998</v>
      </c>
      <c r="S32" s="12">
        <v>41.489609999999999</v>
      </c>
      <c r="T32" s="8">
        <v>97</v>
      </c>
      <c r="U32" s="7">
        <v>43647</v>
      </c>
      <c r="V32" s="8">
        <v>9945568501</v>
      </c>
      <c r="W32" s="11" t="s">
        <v>43</v>
      </c>
      <c r="X32" s="8" t="s">
        <v>36</v>
      </c>
      <c r="Y32" s="11" t="s">
        <v>37</v>
      </c>
      <c r="Z32" s="8" t="s">
        <v>48</v>
      </c>
      <c r="AA32" s="11" t="s">
        <v>49</v>
      </c>
      <c r="AB32" s="12">
        <f t="shared" si="1"/>
        <v>0.4362916</v>
      </c>
    </row>
    <row r="33" spans="1:28" s="4" customFormat="1" ht="13" x14ac:dyDescent="0.3">
      <c r="A33" s="5">
        <v>2114</v>
      </c>
      <c r="B33" s="6" t="s">
        <v>119</v>
      </c>
      <c r="C33" s="7">
        <v>43647</v>
      </c>
      <c r="D33" s="8">
        <v>60</v>
      </c>
      <c r="E33" s="9" t="s">
        <v>53</v>
      </c>
      <c r="F33" s="8" t="s">
        <v>115</v>
      </c>
      <c r="G33" s="11" t="s">
        <v>116</v>
      </c>
      <c r="H33" s="8" t="str">
        <f>"000073"</f>
        <v>000073</v>
      </c>
      <c r="I33" s="7">
        <v>43342</v>
      </c>
      <c r="J33" s="8" t="str">
        <f>"000049"</f>
        <v>000049</v>
      </c>
      <c r="K33" s="7">
        <v>43587</v>
      </c>
      <c r="L33" s="8" t="str">
        <f>"000047"</f>
        <v>000047</v>
      </c>
      <c r="M33" s="7">
        <v>43587</v>
      </c>
      <c r="N33" s="8">
        <v>18</v>
      </c>
      <c r="O33" s="8" t="str">
        <f>"002959"</f>
        <v>002959</v>
      </c>
      <c r="P33" s="7">
        <v>43640</v>
      </c>
      <c r="Q33" s="12">
        <v>51.491810000000001</v>
      </c>
      <c r="R33" s="12">
        <v>2.5215000000000001</v>
      </c>
      <c r="S33" s="12">
        <v>48.970309999999998</v>
      </c>
      <c r="T33" s="8">
        <v>97</v>
      </c>
      <c r="U33" s="7">
        <v>43647</v>
      </c>
      <c r="V33" s="8">
        <v>9945568501</v>
      </c>
      <c r="W33" s="11" t="s">
        <v>43</v>
      </c>
      <c r="X33" s="8" t="s">
        <v>36</v>
      </c>
      <c r="Y33" s="11" t="s">
        <v>37</v>
      </c>
      <c r="Z33" s="8" t="s">
        <v>48</v>
      </c>
      <c r="AA33" s="11" t="s">
        <v>49</v>
      </c>
      <c r="AB33" s="12">
        <f t="shared" si="1"/>
        <v>0.51491810000000005</v>
      </c>
    </row>
    <row r="34" spans="1:28" s="4" customFormat="1" ht="13" x14ac:dyDescent="0.3">
      <c r="A34" s="5">
        <v>2115</v>
      </c>
      <c r="B34" s="6" t="s">
        <v>119</v>
      </c>
      <c r="C34" s="7">
        <v>43647</v>
      </c>
      <c r="D34" s="8">
        <v>60</v>
      </c>
      <c r="E34" s="9" t="s">
        <v>53</v>
      </c>
      <c r="F34" s="8" t="s">
        <v>120</v>
      </c>
      <c r="G34" s="11" t="s">
        <v>121</v>
      </c>
      <c r="H34" s="8" t="str">
        <f>"000295"</f>
        <v>000295</v>
      </c>
      <c r="I34" s="7">
        <v>43498</v>
      </c>
      <c r="J34" s="8" t="str">
        <f>"000032"</f>
        <v>000032</v>
      </c>
      <c r="K34" s="7">
        <v>43585</v>
      </c>
      <c r="L34" s="8" t="str">
        <f>"000017"</f>
        <v>000017</v>
      </c>
      <c r="M34" s="7">
        <v>43585</v>
      </c>
      <c r="N34" s="8">
        <v>19</v>
      </c>
      <c r="O34" s="8" t="str">
        <f>"002968"</f>
        <v>002968</v>
      </c>
      <c r="P34" s="7">
        <v>43640</v>
      </c>
      <c r="Q34" s="12">
        <v>49.354799999999997</v>
      </c>
      <c r="R34" s="12">
        <v>5.0109000000000004</v>
      </c>
      <c r="S34" s="12">
        <v>44.343899999999998</v>
      </c>
      <c r="T34" s="8">
        <v>97</v>
      </c>
      <c r="U34" s="7">
        <v>43647</v>
      </c>
      <c r="V34" s="8">
        <v>9845219166</v>
      </c>
      <c r="W34" s="11" t="s">
        <v>43</v>
      </c>
      <c r="X34" s="8" t="s">
        <v>36</v>
      </c>
      <c r="Y34" s="11" t="s">
        <v>37</v>
      </c>
      <c r="Z34" s="8" t="s">
        <v>48</v>
      </c>
      <c r="AA34" s="11" t="s">
        <v>49</v>
      </c>
      <c r="AB34" s="12">
        <f t="shared" si="1"/>
        <v>0.49354799999999999</v>
      </c>
    </row>
    <row r="35" spans="1:28" s="4" customFormat="1" ht="13" x14ac:dyDescent="0.3">
      <c r="A35" s="5">
        <v>2116</v>
      </c>
      <c r="B35" s="6" t="s">
        <v>119</v>
      </c>
      <c r="C35" s="7">
        <v>43654</v>
      </c>
      <c r="D35" s="8">
        <v>60</v>
      </c>
      <c r="E35" s="9" t="s">
        <v>53</v>
      </c>
      <c r="F35" s="8" t="s">
        <v>60</v>
      </c>
      <c r="G35" s="11" t="s">
        <v>61</v>
      </c>
      <c r="H35" s="8" t="str">
        <f>"000012"</f>
        <v>000012</v>
      </c>
      <c r="I35" s="7">
        <v>42947</v>
      </c>
      <c r="J35" s="8" t="str">
        <f>"000072"</f>
        <v>000072</v>
      </c>
      <c r="K35" s="7">
        <v>43693</v>
      </c>
      <c r="L35" s="8" t="str">
        <f>"000072"</f>
        <v>000072</v>
      </c>
      <c r="M35" s="7">
        <v>43693</v>
      </c>
      <c r="N35" s="8">
        <v>16</v>
      </c>
      <c r="O35" s="8" t="str">
        <f>"004896"</f>
        <v>004896</v>
      </c>
      <c r="P35" s="7">
        <v>43711</v>
      </c>
      <c r="Q35" s="12">
        <v>6.0537000000000001</v>
      </c>
      <c r="R35" s="12">
        <v>0.93149000000000004</v>
      </c>
      <c r="S35" s="12">
        <v>5.1222099999999999</v>
      </c>
      <c r="T35" s="8">
        <v>109</v>
      </c>
      <c r="U35" s="7">
        <v>43654</v>
      </c>
      <c r="V35" s="8">
        <v>9845860866</v>
      </c>
      <c r="W35" s="11" t="s">
        <v>62</v>
      </c>
      <c r="X35" s="8" t="s">
        <v>29</v>
      </c>
      <c r="Y35" s="11" t="s">
        <v>30</v>
      </c>
      <c r="Z35" s="8" t="s">
        <v>46</v>
      </c>
      <c r="AA35" s="11" t="s">
        <v>47</v>
      </c>
      <c r="AB35" s="12">
        <f t="shared" si="1"/>
        <v>6.0537000000000001E-2</v>
      </c>
    </row>
    <row r="36" spans="1:28" s="4" customFormat="1" ht="13" x14ac:dyDescent="0.3">
      <c r="A36" s="5">
        <v>2117</v>
      </c>
      <c r="B36" s="6" t="s">
        <v>119</v>
      </c>
      <c r="C36" s="7">
        <v>43672</v>
      </c>
      <c r="D36" s="8">
        <v>60</v>
      </c>
      <c r="E36" s="9" t="s">
        <v>53</v>
      </c>
      <c r="F36" s="8" t="s">
        <v>122</v>
      </c>
      <c r="G36" s="11" t="s">
        <v>123</v>
      </c>
      <c r="H36" s="8" t="str">
        <f>"000211"</f>
        <v>000211</v>
      </c>
      <c r="I36" s="7">
        <v>43406</v>
      </c>
      <c r="J36" s="8" t="str">
        <f>"000203"</f>
        <v>000203</v>
      </c>
      <c r="K36" s="7">
        <v>43531</v>
      </c>
      <c r="L36" s="8" t="str">
        <f>"000368"</f>
        <v>000368</v>
      </c>
      <c r="M36" s="7">
        <v>43542</v>
      </c>
      <c r="N36" s="8">
        <v>18</v>
      </c>
      <c r="O36" s="8" t="str">
        <f>"003782"</f>
        <v>003782</v>
      </c>
      <c r="P36" s="7">
        <v>43664</v>
      </c>
      <c r="Q36" s="12">
        <v>9.6267999999999994</v>
      </c>
      <c r="R36" s="12">
        <v>1.0942499999999999</v>
      </c>
      <c r="S36" s="12">
        <v>8.5325500000000005</v>
      </c>
      <c r="T36" s="8">
        <v>127</v>
      </c>
      <c r="U36" s="7">
        <v>43672</v>
      </c>
      <c r="V36" s="8">
        <v>9945568501</v>
      </c>
      <c r="W36" s="11" t="s">
        <v>43</v>
      </c>
      <c r="X36" s="8" t="s">
        <v>36</v>
      </c>
      <c r="Y36" s="11" t="s">
        <v>37</v>
      </c>
      <c r="Z36" s="8" t="s">
        <v>48</v>
      </c>
      <c r="AA36" s="11" t="s">
        <v>49</v>
      </c>
      <c r="AB36" s="12">
        <f t="shared" si="1"/>
        <v>9.6267999999999992E-2</v>
      </c>
    </row>
    <row r="37" spans="1:28" s="4" customFormat="1" ht="13" x14ac:dyDescent="0.3">
      <c r="A37" s="5">
        <v>2118</v>
      </c>
      <c r="B37" s="6" t="s">
        <v>119</v>
      </c>
      <c r="C37" s="7">
        <v>43672</v>
      </c>
      <c r="D37" s="8">
        <v>60</v>
      </c>
      <c r="E37" s="9" t="s">
        <v>53</v>
      </c>
      <c r="F37" s="8" t="s">
        <v>124</v>
      </c>
      <c r="G37" s="11" t="s">
        <v>125</v>
      </c>
      <c r="H37" s="8" t="str">
        <f>"000070"</f>
        <v>000070</v>
      </c>
      <c r="I37" s="7">
        <v>43341</v>
      </c>
      <c r="J37" s="8" t="str">
        <f>"000069"</f>
        <v>000069</v>
      </c>
      <c r="K37" s="7">
        <v>43628</v>
      </c>
      <c r="L37" s="8" t="str">
        <f>"000084"</f>
        <v>000084</v>
      </c>
      <c r="M37" s="7">
        <v>43628</v>
      </c>
      <c r="N37" s="8">
        <v>18</v>
      </c>
      <c r="O37" s="8" t="str">
        <f>"003783"</f>
        <v>003783</v>
      </c>
      <c r="P37" s="7">
        <v>43664</v>
      </c>
      <c r="Q37" s="12">
        <v>12.16597</v>
      </c>
      <c r="R37" s="12">
        <v>0.52034999999999998</v>
      </c>
      <c r="S37" s="12">
        <v>11.645619999999999</v>
      </c>
      <c r="T37" s="8">
        <v>127</v>
      </c>
      <c r="U37" s="7">
        <v>43672</v>
      </c>
      <c r="V37" s="8">
        <v>9343733339</v>
      </c>
      <c r="W37" s="11" t="s">
        <v>43</v>
      </c>
      <c r="X37" s="8" t="s">
        <v>36</v>
      </c>
      <c r="Y37" s="11" t="s">
        <v>37</v>
      </c>
      <c r="Z37" s="8" t="s">
        <v>48</v>
      </c>
      <c r="AA37" s="11" t="s">
        <v>49</v>
      </c>
      <c r="AB37" s="12">
        <f t="shared" si="1"/>
        <v>0.1216597</v>
      </c>
    </row>
    <row r="38" spans="1:28" s="4" customFormat="1" ht="13" x14ac:dyDescent="0.3">
      <c r="A38" s="5">
        <v>2119</v>
      </c>
      <c r="B38" s="6" t="s">
        <v>119</v>
      </c>
      <c r="C38" s="7">
        <v>43677</v>
      </c>
      <c r="D38" s="8">
        <v>60</v>
      </c>
      <c r="E38" s="9" t="s">
        <v>53</v>
      </c>
      <c r="F38" s="8" t="s">
        <v>126</v>
      </c>
      <c r="G38" s="11" t="s">
        <v>127</v>
      </c>
      <c r="H38" s="8" t="str">
        <f>"000235"</f>
        <v>000235</v>
      </c>
      <c r="I38" s="7">
        <v>42804</v>
      </c>
      <c r="J38" s="8" t="str">
        <f>"000092"</f>
        <v>000092</v>
      </c>
      <c r="K38" s="7">
        <v>43145</v>
      </c>
      <c r="L38" s="8" t="str">
        <f>"000169"</f>
        <v>000169</v>
      </c>
      <c r="M38" s="7">
        <v>43146</v>
      </c>
      <c r="N38" s="8">
        <v>17</v>
      </c>
      <c r="O38" s="8" t="str">
        <f>"003933"</f>
        <v>003933</v>
      </c>
      <c r="P38" s="7">
        <v>43670</v>
      </c>
      <c r="Q38" s="12">
        <v>9.5954300000000003</v>
      </c>
      <c r="R38" s="12">
        <v>0.26734999999999998</v>
      </c>
      <c r="S38" s="12">
        <v>9.3280799999999999</v>
      </c>
      <c r="T38" s="8">
        <v>135</v>
      </c>
      <c r="U38" s="7">
        <v>43677</v>
      </c>
      <c r="V38" s="8">
        <v>9845089322</v>
      </c>
      <c r="W38" s="11" t="s">
        <v>128</v>
      </c>
      <c r="X38" s="8" t="s">
        <v>32</v>
      </c>
      <c r="Y38" s="11" t="s">
        <v>33</v>
      </c>
      <c r="Z38" s="8" t="s">
        <v>48</v>
      </c>
      <c r="AA38" s="11" t="s">
        <v>49</v>
      </c>
      <c r="AB38" s="12">
        <f t="shared" si="1"/>
        <v>9.5954300000000006E-2</v>
      </c>
    </row>
    <row r="39" spans="1:28" s="4" customFormat="1" ht="13" x14ac:dyDescent="0.3">
      <c r="A39" s="5">
        <v>2120</v>
      </c>
      <c r="B39" s="6" t="s">
        <v>129</v>
      </c>
      <c r="C39" s="7">
        <v>43690</v>
      </c>
      <c r="D39" s="8">
        <v>60</v>
      </c>
      <c r="E39" s="9" t="s">
        <v>53</v>
      </c>
      <c r="F39" s="8" t="s">
        <v>130</v>
      </c>
      <c r="G39" s="11" t="s">
        <v>131</v>
      </c>
      <c r="H39" s="8" t="str">
        <f>"000207"</f>
        <v>000207</v>
      </c>
      <c r="I39" s="7">
        <v>43129</v>
      </c>
      <c r="J39" s="8" t="str">
        <f>"000070"</f>
        <v>000070</v>
      </c>
      <c r="K39" s="7">
        <v>43645</v>
      </c>
      <c r="L39" s="8" t="str">
        <f>"000089"</f>
        <v>000089</v>
      </c>
      <c r="M39" s="7">
        <v>43645</v>
      </c>
      <c r="N39" s="8">
        <v>18</v>
      </c>
      <c r="O39" s="8" t="str">
        <f>"004143"</f>
        <v>004143</v>
      </c>
      <c r="P39" s="7">
        <v>43678</v>
      </c>
      <c r="Q39" s="12">
        <v>27.434170000000002</v>
      </c>
      <c r="R39" s="12">
        <v>0.91849999999999998</v>
      </c>
      <c r="S39" s="12">
        <v>26.51567</v>
      </c>
      <c r="T39" s="8">
        <v>152</v>
      </c>
      <c r="U39" s="7">
        <v>43690</v>
      </c>
      <c r="V39" s="8">
        <v>9880224948</v>
      </c>
      <c r="W39" s="11" t="s">
        <v>52</v>
      </c>
      <c r="X39" s="8" t="s">
        <v>58</v>
      </c>
      <c r="Y39" s="11" t="s">
        <v>59</v>
      </c>
      <c r="Z39" s="8" t="s">
        <v>48</v>
      </c>
      <c r="AA39" s="11" t="s">
        <v>49</v>
      </c>
      <c r="AB39" s="12">
        <f t="shared" si="1"/>
        <v>0.27434170000000002</v>
      </c>
    </row>
    <row r="40" spans="1:28" s="4" customFormat="1" ht="13" x14ac:dyDescent="0.3">
      <c r="A40" s="5">
        <v>2121</v>
      </c>
      <c r="B40" s="6" t="s">
        <v>129</v>
      </c>
      <c r="C40" s="7">
        <v>43696</v>
      </c>
      <c r="D40" s="8">
        <v>60</v>
      </c>
      <c r="E40" s="9" t="s">
        <v>53</v>
      </c>
      <c r="F40" s="8" t="s">
        <v>132</v>
      </c>
      <c r="G40" s="11" t="s">
        <v>133</v>
      </c>
      <c r="H40" s="8" t="str">
        <f>"000242"</f>
        <v>000242</v>
      </c>
      <c r="I40" s="7">
        <v>42809</v>
      </c>
      <c r="J40" s="8" t="str">
        <f>"000112"</f>
        <v>000112</v>
      </c>
      <c r="K40" s="7">
        <v>43181</v>
      </c>
      <c r="L40" s="8" t="str">
        <f>"000209"</f>
        <v>000209</v>
      </c>
      <c r="M40" s="7">
        <v>43181</v>
      </c>
      <c r="N40" s="8">
        <v>16</v>
      </c>
      <c r="O40" s="8" t="str">
        <f>"004492"</f>
        <v>004492</v>
      </c>
      <c r="P40" s="7">
        <v>43691</v>
      </c>
      <c r="Q40" s="12">
        <v>9.5879999999999992</v>
      </c>
      <c r="R40" s="12">
        <v>0.20200000000000001</v>
      </c>
      <c r="S40" s="12">
        <v>9.3859999999999992</v>
      </c>
      <c r="T40" s="8">
        <v>158</v>
      </c>
      <c r="U40" s="7">
        <v>43696</v>
      </c>
      <c r="V40" s="8">
        <v>9945568501</v>
      </c>
      <c r="W40" s="11" t="s">
        <v>102</v>
      </c>
      <c r="X40" s="8" t="s">
        <v>32</v>
      </c>
      <c r="Y40" s="11" t="s">
        <v>33</v>
      </c>
      <c r="Z40" s="8" t="s">
        <v>48</v>
      </c>
      <c r="AA40" s="11" t="s">
        <v>49</v>
      </c>
      <c r="AB40" s="12">
        <f t="shared" si="1"/>
        <v>9.5879999999999993E-2</v>
      </c>
    </row>
    <row r="41" spans="1:28" s="4" customFormat="1" ht="13" x14ac:dyDescent="0.3">
      <c r="A41" s="5">
        <v>2122</v>
      </c>
      <c r="B41" s="6" t="s">
        <v>129</v>
      </c>
      <c r="C41" s="7">
        <v>43705</v>
      </c>
      <c r="D41" s="8">
        <v>60</v>
      </c>
      <c r="E41" s="9" t="s">
        <v>53</v>
      </c>
      <c r="F41" s="8" t="s">
        <v>134</v>
      </c>
      <c r="G41" s="11" t="s">
        <v>135</v>
      </c>
      <c r="H41" s="8" t="str">
        <f>"000041"</f>
        <v>000041</v>
      </c>
      <c r="I41" s="7">
        <v>42986</v>
      </c>
      <c r="J41" s="8" t="str">
        <f>"000074"</f>
        <v>000074</v>
      </c>
      <c r="K41" s="7">
        <v>43318</v>
      </c>
      <c r="L41" s="8" t="str">
        <f>"000101"</f>
        <v>000101</v>
      </c>
      <c r="M41" s="7">
        <v>43321</v>
      </c>
      <c r="N41" s="8">
        <v>17</v>
      </c>
      <c r="O41" s="8" t="str">
        <f>"004691"</f>
        <v>004691</v>
      </c>
      <c r="P41" s="7">
        <v>43698</v>
      </c>
      <c r="Q41" s="12">
        <v>9.9451999999999998</v>
      </c>
      <c r="R41" s="12">
        <v>0.85650000000000004</v>
      </c>
      <c r="S41" s="12">
        <v>9.0886999999999993</v>
      </c>
      <c r="T41" s="8">
        <v>171</v>
      </c>
      <c r="U41" s="7">
        <v>43705</v>
      </c>
      <c r="V41" s="8">
        <v>9964766222</v>
      </c>
      <c r="W41" s="11" t="s">
        <v>52</v>
      </c>
      <c r="X41" s="8" t="s">
        <v>136</v>
      </c>
      <c r="Y41" s="11" t="s">
        <v>137</v>
      </c>
      <c r="Z41" s="8" t="s">
        <v>48</v>
      </c>
      <c r="AA41" s="11" t="s">
        <v>49</v>
      </c>
      <c r="AB41" s="12">
        <f t="shared" si="1"/>
        <v>9.9451999999999999E-2</v>
      </c>
    </row>
    <row r="42" spans="1:28" s="4" customFormat="1" ht="13" x14ac:dyDescent="0.3">
      <c r="A42" s="5">
        <v>2123</v>
      </c>
      <c r="B42" s="6" t="s">
        <v>129</v>
      </c>
      <c r="C42" s="7">
        <v>43705</v>
      </c>
      <c r="D42" s="8">
        <v>60</v>
      </c>
      <c r="E42" s="9" t="s">
        <v>53</v>
      </c>
      <c r="F42" s="8" t="s">
        <v>138</v>
      </c>
      <c r="G42" s="11" t="s">
        <v>139</v>
      </c>
      <c r="H42" s="8" t="str">
        <f>"000037"</f>
        <v>000037</v>
      </c>
      <c r="I42" s="7">
        <v>42986</v>
      </c>
      <c r="J42" s="8" t="str">
        <f>"000075"</f>
        <v>000075</v>
      </c>
      <c r="K42" s="7">
        <v>43318</v>
      </c>
      <c r="L42" s="8" t="str">
        <f>"000102"</f>
        <v>000102</v>
      </c>
      <c r="M42" s="7">
        <v>43321</v>
      </c>
      <c r="N42" s="8">
        <v>17</v>
      </c>
      <c r="O42" s="8" t="str">
        <f>"004692"</f>
        <v>004692</v>
      </c>
      <c r="P42" s="7">
        <v>43698</v>
      </c>
      <c r="Q42" s="12">
        <v>9.9612300000000005</v>
      </c>
      <c r="R42" s="12">
        <v>0.85350000000000004</v>
      </c>
      <c r="S42" s="12">
        <v>9.1077300000000001</v>
      </c>
      <c r="T42" s="8">
        <v>171</v>
      </c>
      <c r="U42" s="7">
        <v>43705</v>
      </c>
      <c r="V42" s="8">
        <v>9886628834</v>
      </c>
      <c r="W42" s="11" t="s">
        <v>52</v>
      </c>
      <c r="X42" s="8" t="s">
        <v>136</v>
      </c>
      <c r="Y42" s="11" t="s">
        <v>137</v>
      </c>
      <c r="Z42" s="8" t="s">
        <v>48</v>
      </c>
      <c r="AA42" s="11" t="s">
        <v>49</v>
      </c>
      <c r="AB42" s="12">
        <f t="shared" si="1"/>
        <v>9.9612300000000001E-2</v>
      </c>
    </row>
    <row r="43" spans="1:28" s="4" customFormat="1" ht="13" x14ac:dyDescent="0.3">
      <c r="A43" s="5">
        <v>2124</v>
      </c>
      <c r="B43" s="6" t="s">
        <v>129</v>
      </c>
      <c r="C43" s="7">
        <v>43705</v>
      </c>
      <c r="D43" s="8">
        <v>60</v>
      </c>
      <c r="E43" s="9" t="s">
        <v>53</v>
      </c>
      <c r="F43" s="8" t="s">
        <v>140</v>
      </c>
      <c r="G43" s="11" t="s">
        <v>141</v>
      </c>
      <c r="H43" s="8" t="str">
        <f>"000035"</f>
        <v>000035</v>
      </c>
      <c r="I43" s="7">
        <v>42986</v>
      </c>
      <c r="J43" s="8" t="str">
        <f>"000071"</f>
        <v>000071</v>
      </c>
      <c r="K43" s="7">
        <v>43316</v>
      </c>
      <c r="L43" s="8" t="str">
        <f>"000103"</f>
        <v>000103</v>
      </c>
      <c r="M43" s="7">
        <v>43321</v>
      </c>
      <c r="N43" s="8">
        <v>17</v>
      </c>
      <c r="O43" s="8" t="str">
        <f>"004694"</f>
        <v>004694</v>
      </c>
      <c r="P43" s="7">
        <v>43698</v>
      </c>
      <c r="Q43" s="12">
        <v>9.8770799999999994</v>
      </c>
      <c r="R43" s="12">
        <v>0.84846999999999995</v>
      </c>
      <c r="S43" s="12">
        <v>9.0286100000000005</v>
      </c>
      <c r="T43" s="8">
        <v>171</v>
      </c>
      <c r="U43" s="7">
        <v>43705</v>
      </c>
      <c r="V43" s="8">
        <v>9886628834</v>
      </c>
      <c r="W43" s="11" t="s">
        <v>52</v>
      </c>
      <c r="X43" s="8" t="s">
        <v>136</v>
      </c>
      <c r="Y43" s="11" t="s">
        <v>137</v>
      </c>
      <c r="Z43" s="8" t="s">
        <v>48</v>
      </c>
      <c r="AA43" s="11" t="s">
        <v>49</v>
      </c>
      <c r="AB43" s="12">
        <f t="shared" si="1"/>
        <v>9.8770799999999992E-2</v>
      </c>
    </row>
    <row r="44" spans="1:28" s="4" customFormat="1" ht="13" x14ac:dyDescent="0.3">
      <c r="A44" s="5">
        <v>2125</v>
      </c>
      <c r="B44" s="6" t="s">
        <v>129</v>
      </c>
      <c r="C44" s="7">
        <v>43705</v>
      </c>
      <c r="D44" s="8">
        <v>60</v>
      </c>
      <c r="E44" s="9" t="s">
        <v>53</v>
      </c>
      <c r="F44" s="8" t="s">
        <v>142</v>
      </c>
      <c r="G44" s="11" t="s">
        <v>143</v>
      </c>
      <c r="H44" s="8" t="str">
        <f>"000036"</f>
        <v>000036</v>
      </c>
      <c r="I44" s="7">
        <v>42986</v>
      </c>
      <c r="J44" s="8" t="str">
        <f>"000072"</f>
        <v>000072</v>
      </c>
      <c r="K44" s="7">
        <v>43316</v>
      </c>
      <c r="L44" s="8" t="str">
        <f>"000104"</f>
        <v>000104</v>
      </c>
      <c r="M44" s="7">
        <v>43321</v>
      </c>
      <c r="N44" s="8">
        <v>17</v>
      </c>
      <c r="O44" s="8" t="str">
        <f>"004696"</f>
        <v>004696</v>
      </c>
      <c r="P44" s="7">
        <v>43698</v>
      </c>
      <c r="Q44" s="12">
        <v>9.9554100000000005</v>
      </c>
      <c r="R44" s="12">
        <v>0.85650000000000004</v>
      </c>
      <c r="S44" s="12">
        <v>9.0989100000000001</v>
      </c>
      <c r="T44" s="8">
        <v>171</v>
      </c>
      <c r="U44" s="7">
        <v>43705</v>
      </c>
      <c r="V44" s="8">
        <v>9886628834</v>
      </c>
      <c r="W44" s="11" t="s">
        <v>52</v>
      </c>
      <c r="X44" s="8" t="s">
        <v>136</v>
      </c>
      <c r="Y44" s="11" t="s">
        <v>137</v>
      </c>
      <c r="Z44" s="8" t="s">
        <v>48</v>
      </c>
      <c r="AA44" s="11" t="s">
        <v>49</v>
      </c>
      <c r="AB44" s="12">
        <f t="shared" si="1"/>
        <v>9.9554100000000006E-2</v>
      </c>
    </row>
    <row r="45" spans="1:28" s="4" customFormat="1" ht="13" x14ac:dyDescent="0.3">
      <c r="A45" s="5">
        <v>2126</v>
      </c>
      <c r="B45" s="6" t="s">
        <v>144</v>
      </c>
      <c r="C45" s="7">
        <v>43719</v>
      </c>
      <c r="D45" s="8">
        <v>60</v>
      </c>
      <c r="E45" s="9" t="s">
        <v>53</v>
      </c>
      <c r="F45" s="8" t="s">
        <v>60</v>
      </c>
      <c r="G45" s="11" t="s">
        <v>61</v>
      </c>
      <c r="H45" s="8" t="str">
        <f>"000012"</f>
        <v>000012</v>
      </c>
      <c r="I45" s="7">
        <v>42947</v>
      </c>
      <c r="J45" s="8" t="str">
        <f>"000072"</f>
        <v>000072</v>
      </c>
      <c r="K45" s="7">
        <v>43693</v>
      </c>
      <c r="L45" s="8" t="str">
        <f>"000072"</f>
        <v>000072</v>
      </c>
      <c r="M45" s="7">
        <v>43693</v>
      </c>
      <c r="N45" s="8">
        <v>16</v>
      </c>
      <c r="O45" s="8" t="str">
        <f>"004896"</f>
        <v>004896</v>
      </c>
      <c r="P45" s="7">
        <v>43711</v>
      </c>
      <c r="Q45" s="12">
        <v>1.00895</v>
      </c>
      <c r="R45" s="12">
        <v>0.13528999999999999</v>
      </c>
      <c r="S45" s="12">
        <v>0.87365999999999999</v>
      </c>
      <c r="T45" s="8">
        <v>179</v>
      </c>
      <c r="U45" s="7">
        <v>43719</v>
      </c>
      <c r="V45" s="8">
        <v>9845860866</v>
      </c>
      <c r="W45" s="11" t="s">
        <v>62</v>
      </c>
      <c r="X45" s="8" t="s">
        <v>29</v>
      </c>
      <c r="Y45" s="11" t="s">
        <v>30</v>
      </c>
      <c r="Z45" s="8" t="s">
        <v>46</v>
      </c>
      <c r="AA45" s="11" t="s">
        <v>47</v>
      </c>
      <c r="AB45" s="12">
        <f t="shared" si="1"/>
        <v>1.00895E-2</v>
      </c>
    </row>
    <row r="46" spans="1:28" s="4" customFormat="1" ht="13" x14ac:dyDescent="0.3">
      <c r="A46" s="5">
        <v>2127</v>
      </c>
      <c r="B46" s="6" t="s">
        <v>144</v>
      </c>
      <c r="C46" s="7">
        <v>43719</v>
      </c>
      <c r="D46" s="8">
        <v>60</v>
      </c>
      <c r="E46" s="9" t="s">
        <v>53</v>
      </c>
      <c r="F46" s="8" t="s">
        <v>145</v>
      </c>
      <c r="G46" s="11" t="s">
        <v>146</v>
      </c>
      <c r="H46" s="8" t="str">
        <f>"000356"</f>
        <v>000356</v>
      </c>
      <c r="I46" s="7">
        <v>43532</v>
      </c>
      <c r="J46" s="8" t="str">
        <f>"000110"</f>
        <v>000110</v>
      </c>
      <c r="K46" s="7">
        <v>43706</v>
      </c>
      <c r="L46" s="8" t="str">
        <f>"000137"</f>
        <v>000137</v>
      </c>
      <c r="M46" s="7">
        <v>43706</v>
      </c>
      <c r="N46" s="8">
        <v>19</v>
      </c>
      <c r="O46" s="8" t="str">
        <f>"004960"</f>
        <v>004960</v>
      </c>
      <c r="P46" s="7">
        <v>43717</v>
      </c>
      <c r="Q46" s="12">
        <v>69.912329999999997</v>
      </c>
      <c r="R46" s="12">
        <v>7.3918400000000002</v>
      </c>
      <c r="S46" s="12">
        <v>62.520490000000002</v>
      </c>
      <c r="T46" s="8">
        <v>182</v>
      </c>
      <c r="U46" s="7">
        <v>43719</v>
      </c>
      <c r="V46" s="8">
        <v>9845030601</v>
      </c>
      <c r="W46" s="11" t="s">
        <v>43</v>
      </c>
      <c r="X46" s="8" t="s">
        <v>147</v>
      </c>
      <c r="Y46" s="11" t="s">
        <v>148</v>
      </c>
      <c r="Z46" s="8" t="s">
        <v>48</v>
      </c>
      <c r="AA46" s="11" t="s">
        <v>49</v>
      </c>
      <c r="AB46" s="12">
        <f t="shared" si="1"/>
        <v>0.6991233</v>
      </c>
    </row>
    <row r="47" spans="1:28" s="4" customFormat="1" ht="13" x14ac:dyDescent="0.3">
      <c r="A47" s="5">
        <v>2128</v>
      </c>
      <c r="B47" s="6" t="s">
        <v>144</v>
      </c>
      <c r="C47" s="7">
        <v>43732</v>
      </c>
      <c r="D47" s="8">
        <v>60</v>
      </c>
      <c r="E47" s="9" t="s">
        <v>53</v>
      </c>
      <c r="F47" s="8" t="s">
        <v>149</v>
      </c>
      <c r="G47" s="11" t="s">
        <v>150</v>
      </c>
      <c r="H47" s="8" t="str">
        <f>"0000.6"</f>
        <v>0000.6</v>
      </c>
      <c r="I47" s="7">
        <v>42719</v>
      </c>
      <c r="J47" s="8" t="str">
        <f>"000116"</f>
        <v>000116</v>
      </c>
      <c r="K47" s="7">
        <v>43190</v>
      </c>
      <c r="L47" s="8" t="str">
        <f>"000001"</f>
        <v>000001</v>
      </c>
      <c r="M47" s="7">
        <v>43193</v>
      </c>
      <c r="N47" s="8">
        <v>17</v>
      </c>
      <c r="O47" s="8" t="str">
        <f>"005294"</f>
        <v>005294</v>
      </c>
      <c r="P47" s="7">
        <v>43729</v>
      </c>
      <c r="Q47" s="12">
        <v>14.87659</v>
      </c>
      <c r="R47" s="12">
        <v>1.4623200000000001</v>
      </c>
      <c r="S47" s="12">
        <v>13.41427</v>
      </c>
      <c r="T47" s="8">
        <v>199</v>
      </c>
      <c r="U47" s="7">
        <v>43732</v>
      </c>
      <c r="V47" s="8">
        <v>9945568501</v>
      </c>
      <c r="W47" s="11" t="s">
        <v>151</v>
      </c>
      <c r="X47" s="8" t="s">
        <v>32</v>
      </c>
      <c r="Y47" s="11" t="s">
        <v>33</v>
      </c>
      <c r="Z47" s="8" t="s">
        <v>48</v>
      </c>
      <c r="AA47" s="11" t="s">
        <v>49</v>
      </c>
      <c r="AB47" s="12">
        <f t="shared" si="1"/>
        <v>0.14876590000000001</v>
      </c>
    </row>
    <row r="48" spans="1:28" s="4" customFormat="1" ht="13" x14ac:dyDescent="0.3">
      <c r="A48" s="5">
        <v>2129</v>
      </c>
      <c r="B48" s="6" t="s">
        <v>144</v>
      </c>
      <c r="C48" s="7">
        <v>43732</v>
      </c>
      <c r="D48" s="8">
        <v>60</v>
      </c>
      <c r="E48" s="9" t="s">
        <v>53</v>
      </c>
      <c r="F48" s="8" t="s">
        <v>152</v>
      </c>
      <c r="G48" s="11" t="s">
        <v>153</v>
      </c>
      <c r="H48" s="8" t="str">
        <f>"000006"</f>
        <v>000006</v>
      </c>
      <c r="I48" s="7">
        <v>43201</v>
      </c>
      <c r="J48" s="8" t="str">
        <f>"000019"</f>
        <v>000019</v>
      </c>
      <c r="K48" s="7">
        <v>43210</v>
      </c>
      <c r="L48" s="8" t="str">
        <f>"000019"</f>
        <v>000019</v>
      </c>
      <c r="M48" s="7">
        <v>43210</v>
      </c>
      <c r="N48" s="8">
        <v>18</v>
      </c>
      <c r="O48" s="8" t="str">
        <f>"005317"</f>
        <v>005317</v>
      </c>
      <c r="P48" s="7">
        <v>43729</v>
      </c>
      <c r="Q48" s="12">
        <v>24.979140000000001</v>
      </c>
      <c r="R48" s="12">
        <v>3.149</v>
      </c>
      <c r="S48" s="12">
        <v>21.83014</v>
      </c>
      <c r="T48" s="8">
        <v>199</v>
      </c>
      <c r="U48" s="7">
        <v>43732</v>
      </c>
      <c r="V48" s="8">
        <v>9945525730</v>
      </c>
      <c r="W48" s="11" t="s">
        <v>35</v>
      </c>
      <c r="X48" s="8" t="s">
        <v>154</v>
      </c>
      <c r="Y48" s="11" t="s">
        <v>155</v>
      </c>
      <c r="Z48" s="8" t="s">
        <v>46</v>
      </c>
      <c r="AA48" s="11" t="s">
        <v>47</v>
      </c>
      <c r="AB48" s="12">
        <f t="shared" si="1"/>
        <v>0.2497914</v>
      </c>
    </row>
    <row r="49" spans="1:28" s="4" customFormat="1" ht="13" x14ac:dyDescent="0.3">
      <c r="A49" s="5">
        <v>2130</v>
      </c>
      <c r="B49" s="6" t="s">
        <v>144</v>
      </c>
      <c r="C49" s="7">
        <v>43732</v>
      </c>
      <c r="D49" s="8">
        <v>60</v>
      </c>
      <c r="E49" s="9" t="s">
        <v>53</v>
      </c>
      <c r="F49" s="8" t="s">
        <v>156</v>
      </c>
      <c r="G49" s="11" t="s">
        <v>157</v>
      </c>
      <c r="H49" s="8" t="str">
        <f>"000007"</f>
        <v>000007</v>
      </c>
      <c r="I49" s="7">
        <v>43201</v>
      </c>
      <c r="J49" s="8" t="str">
        <f>"000020"</f>
        <v>000020</v>
      </c>
      <c r="K49" s="7">
        <v>43210</v>
      </c>
      <c r="L49" s="8" t="str">
        <f>"000020"</f>
        <v>000020</v>
      </c>
      <c r="M49" s="7">
        <v>43210</v>
      </c>
      <c r="N49" s="8">
        <v>18</v>
      </c>
      <c r="O49" s="8" t="str">
        <f>"005318"</f>
        <v>005318</v>
      </c>
      <c r="P49" s="7">
        <v>43729</v>
      </c>
      <c r="Q49" s="12">
        <v>24.988710000000001</v>
      </c>
      <c r="R49" s="12">
        <v>3.15015</v>
      </c>
      <c r="S49" s="12">
        <v>21.838560000000001</v>
      </c>
      <c r="T49" s="8">
        <v>199</v>
      </c>
      <c r="U49" s="7">
        <v>43732</v>
      </c>
      <c r="V49" s="8">
        <v>9945525730</v>
      </c>
      <c r="W49" s="11" t="s">
        <v>35</v>
      </c>
      <c r="X49" s="8" t="s">
        <v>154</v>
      </c>
      <c r="Y49" s="11" t="s">
        <v>155</v>
      </c>
      <c r="Z49" s="8" t="s">
        <v>46</v>
      </c>
      <c r="AA49" s="11" t="s">
        <v>47</v>
      </c>
      <c r="AB49" s="12">
        <f t="shared" si="1"/>
        <v>0.2498871</v>
      </c>
    </row>
    <row r="50" spans="1:28" s="4" customFormat="1" ht="13" x14ac:dyDescent="0.3">
      <c r="A50" s="5">
        <v>2131</v>
      </c>
      <c r="B50" s="6" t="s">
        <v>144</v>
      </c>
      <c r="C50" s="7">
        <v>43732</v>
      </c>
      <c r="D50" s="8">
        <v>60</v>
      </c>
      <c r="E50" s="9" t="s">
        <v>53</v>
      </c>
      <c r="F50" s="8" t="s">
        <v>158</v>
      </c>
      <c r="G50" s="11" t="s">
        <v>159</v>
      </c>
      <c r="H50" s="8" t="str">
        <f>"000008"</f>
        <v>000008</v>
      </c>
      <c r="I50" s="7">
        <v>43201</v>
      </c>
      <c r="J50" s="8" t="str">
        <f>"000021"</f>
        <v>000021</v>
      </c>
      <c r="K50" s="7">
        <v>43210</v>
      </c>
      <c r="L50" s="8" t="str">
        <f>"000021"</f>
        <v>000021</v>
      </c>
      <c r="M50" s="7">
        <v>43210</v>
      </c>
      <c r="N50" s="8">
        <v>18</v>
      </c>
      <c r="O50" s="8" t="str">
        <f>"005319"</f>
        <v>005319</v>
      </c>
      <c r="P50" s="7">
        <v>43729</v>
      </c>
      <c r="Q50" s="12">
        <v>24.97964</v>
      </c>
      <c r="R50" s="12">
        <v>3.1491799999999999</v>
      </c>
      <c r="S50" s="12">
        <v>21.830459999999999</v>
      </c>
      <c r="T50" s="8">
        <v>199</v>
      </c>
      <c r="U50" s="7">
        <v>43732</v>
      </c>
      <c r="V50" s="8">
        <v>9945525730</v>
      </c>
      <c r="W50" s="11" t="s">
        <v>35</v>
      </c>
      <c r="X50" s="8" t="s">
        <v>154</v>
      </c>
      <c r="Y50" s="11" t="s">
        <v>155</v>
      </c>
      <c r="Z50" s="8" t="s">
        <v>46</v>
      </c>
      <c r="AA50" s="11" t="s">
        <v>47</v>
      </c>
      <c r="AB50" s="12">
        <f t="shared" si="1"/>
        <v>0.2497964</v>
      </c>
    </row>
    <row r="51" spans="1:28" s="4" customFormat="1" ht="13" x14ac:dyDescent="0.3">
      <c r="A51" s="5">
        <v>2132</v>
      </c>
      <c r="B51" s="6" t="s">
        <v>144</v>
      </c>
      <c r="C51" s="7">
        <v>43732</v>
      </c>
      <c r="D51" s="8">
        <v>60</v>
      </c>
      <c r="E51" s="9" t="s">
        <v>53</v>
      </c>
      <c r="F51" s="8" t="s">
        <v>160</v>
      </c>
      <c r="G51" s="11" t="s">
        <v>161</v>
      </c>
      <c r="H51" s="8" t="str">
        <f>"000009"</f>
        <v>000009</v>
      </c>
      <c r="I51" s="7">
        <v>43202</v>
      </c>
      <c r="J51" s="8" t="str">
        <f>"000022"</f>
        <v>000022</v>
      </c>
      <c r="K51" s="7">
        <v>43210</v>
      </c>
      <c r="L51" s="8" t="str">
        <f>"000022"</f>
        <v>000022</v>
      </c>
      <c r="M51" s="7">
        <v>43210</v>
      </c>
      <c r="N51" s="8">
        <v>18</v>
      </c>
      <c r="O51" s="8" t="str">
        <f>"005320"</f>
        <v>005320</v>
      </c>
      <c r="P51" s="7">
        <v>43729</v>
      </c>
      <c r="Q51" s="12">
        <v>24.970839999999999</v>
      </c>
      <c r="R51" s="12">
        <v>3.1482199999999998</v>
      </c>
      <c r="S51" s="12">
        <v>21.822620000000001</v>
      </c>
      <c r="T51" s="8">
        <v>199</v>
      </c>
      <c r="U51" s="7">
        <v>43732</v>
      </c>
      <c r="V51" s="8">
        <v>9945525730</v>
      </c>
      <c r="W51" s="11" t="s">
        <v>35</v>
      </c>
      <c r="X51" s="8" t="s">
        <v>154</v>
      </c>
      <c r="Y51" s="11" t="s">
        <v>155</v>
      </c>
      <c r="Z51" s="8" t="s">
        <v>46</v>
      </c>
      <c r="AA51" s="11" t="s">
        <v>47</v>
      </c>
      <c r="AB51" s="12">
        <f t="shared" si="1"/>
        <v>0.2497084</v>
      </c>
    </row>
    <row r="52" spans="1:28" s="4" customFormat="1" ht="13" x14ac:dyDescent="0.3">
      <c r="A52" s="5">
        <v>2133</v>
      </c>
      <c r="B52" s="6" t="s">
        <v>162</v>
      </c>
      <c r="C52" s="7">
        <v>43749</v>
      </c>
      <c r="D52" s="5">
        <v>60</v>
      </c>
      <c r="E52" s="9" t="s">
        <v>53</v>
      </c>
      <c r="F52" s="8" t="s">
        <v>163</v>
      </c>
      <c r="G52" s="9" t="s">
        <v>164</v>
      </c>
      <c r="H52" s="8" t="str">
        <f>"000266"</f>
        <v>000266</v>
      </c>
      <c r="I52" s="7">
        <v>43463</v>
      </c>
      <c r="J52" s="8" t="str">
        <f>"000106"</f>
        <v>000106</v>
      </c>
      <c r="K52" s="7">
        <v>43705</v>
      </c>
      <c r="L52" s="8" t="str">
        <f>"000136"</f>
        <v>000136</v>
      </c>
      <c r="M52" s="7">
        <v>43706</v>
      </c>
      <c r="N52" s="8">
        <v>18</v>
      </c>
      <c r="O52" s="8" t="str">
        <f>"005640"</f>
        <v>005640</v>
      </c>
      <c r="P52" s="7">
        <v>43741</v>
      </c>
      <c r="Q52" s="10">
        <v>111.46089000000001</v>
      </c>
      <c r="R52" s="10">
        <v>6.0420699999999998</v>
      </c>
      <c r="S52" s="10">
        <v>105.41882</v>
      </c>
      <c r="T52" s="8">
        <v>13</v>
      </c>
      <c r="U52" s="7">
        <v>43749</v>
      </c>
      <c r="V52" s="8">
        <v>9945568501</v>
      </c>
      <c r="W52" s="9" t="s">
        <v>165</v>
      </c>
      <c r="X52" s="8" t="s">
        <v>58</v>
      </c>
      <c r="Y52" s="9" t="s">
        <v>59</v>
      </c>
      <c r="Z52" s="8" t="s">
        <v>48</v>
      </c>
      <c r="AA52" s="9" t="s">
        <v>49</v>
      </c>
      <c r="AB52" s="10">
        <v>1.1146089000000001</v>
      </c>
    </row>
    <row r="53" spans="1:28" s="4" customFormat="1" ht="13" x14ac:dyDescent="0.3">
      <c r="A53" s="5">
        <v>2134</v>
      </c>
      <c r="B53" s="6" t="s">
        <v>162</v>
      </c>
      <c r="C53" s="7">
        <v>43749</v>
      </c>
      <c r="D53" s="5">
        <v>60</v>
      </c>
      <c r="E53" s="9" t="s">
        <v>53</v>
      </c>
      <c r="F53" s="8" t="s">
        <v>69</v>
      </c>
      <c r="G53" s="9" t="s">
        <v>70</v>
      </c>
      <c r="H53" s="8" t="str">
        <f>"000181"</f>
        <v>000181</v>
      </c>
      <c r="I53" s="7">
        <v>42741</v>
      </c>
      <c r="J53" s="8" t="str">
        <f>"000105"</f>
        <v>000105</v>
      </c>
      <c r="K53" s="7">
        <v>43703</v>
      </c>
      <c r="L53" s="8" t="str">
        <f>"000135"</f>
        <v>000135</v>
      </c>
      <c r="M53" s="7">
        <v>43705</v>
      </c>
      <c r="N53" s="8">
        <v>17</v>
      </c>
      <c r="O53" s="8" t="str">
        <f>"005641"</f>
        <v>005641</v>
      </c>
      <c r="P53" s="7">
        <v>43741</v>
      </c>
      <c r="Q53" s="10">
        <v>56.650399999999998</v>
      </c>
      <c r="R53" s="10">
        <v>1.98776</v>
      </c>
      <c r="S53" s="10">
        <v>54.662640000000003</v>
      </c>
      <c r="T53" s="8">
        <v>13</v>
      </c>
      <c r="U53" s="7">
        <v>43749</v>
      </c>
      <c r="V53" s="8">
        <v>9945568501</v>
      </c>
      <c r="W53" s="9" t="s">
        <v>40</v>
      </c>
      <c r="X53" s="8" t="s">
        <v>36</v>
      </c>
      <c r="Y53" s="9" t="s">
        <v>37</v>
      </c>
      <c r="Z53" s="8" t="s">
        <v>48</v>
      </c>
      <c r="AA53" s="9" t="s">
        <v>49</v>
      </c>
      <c r="AB53" s="10">
        <v>0.56650400000000001</v>
      </c>
    </row>
    <row r="54" spans="1:28" s="4" customFormat="1" ht="13" x14ac:dyDescent="0.3">
      <c r="A54" s="5">
        <v>2135</v>
      </c>
      <c r="B54" s="6" t="s">
        <v>162</v>
      </c>
      <c r="C54" s="7">
        <v>43749</v>
      </c>
      <c r="D54" s="5">
        <v>60</v>
      </c>
      <c r="E54" s="9" t="s">
        <v>53</v>
      </c>
      <c r="F54" s="8" t="s">
        <v>166</v>
      </c>
      <c r="G54" s="9" t="s">
        <v>167</v>
      </c>
      <c r="H54" s="8" t="str">
        <f>"000267"</f>
        <v>000267</v>
      </c>
      <c r="I54" s="7">
        <v>43463</v>
      </c>
      <c r="J54" s="8" t="str">
        <f>"000095"</f>
        <v>000095</v>
      </c>
      <c r="K54" s="7">
        <v>43694</v>
      </c>
      <c r="L54" s="8" t="str">
        <f>"000123"</f>
        <v>000123</v>
      </c>
      <c r="M54" s="7">
        <v>43696</v>
      </c>
      <c r="N54" s="8">
        <v>18</v>
      </c>
      <c r="O54" s="8" t="str">
        <f>"005642"</f>
        <v>005642</v>
      </c>
      <c r="P54" s="7">
        <v>43741</v>
      </c>
      <c r="Q54" s="10">
        <v>16.38083</v>
      </c>
      <c r="R54" s="10">
        <v>0.74092999999999998</v>
      </c>
      <c r="S54" s="10">
        <v>15.639900000000001</v>
      </c>
      <c r="T54" s="8">
        <v>13</v>
      </c>
      <c r="U54" s="7">
        <v>43749</v>
      </c>
      <c r="V54" s="8">
        <v>9844440219</v>
      </c>
      <c r="W54" s="9" t="s">
        <v>168</v>
      </c>
      <c r="X54" s="8" t="s">
        <v>58</v>
      </c>
      <c r="Y54" s="9" t="s">
        <v>59</v>
      </c>
      <c r="Z54" s="8" t="s">
        <v>48</v>
      </c>
      <c r="AA54" s="9" t="s">
        <v>49</v>
      </c>
      <c r="AB54" s="10">
        <v>0.16380829999999999</v>
      </c>
    </row>
    <row r="55" spans="1:28" s="4" customFormat="1" ht="13" x14ac:dyDescent="0.3">
      <c r="A55" s="5">
        <v>2136</v>
      </c>
      <c r="B55" s="6" t="s">
        <v>162</v>
      </c>
      <c r="C55" s="7">
        <v>43752</v>
      </c>
      <c r="D55" s="5">
        <v>60</v>
      </c>
      <c r="E55" s="9" t="s">
        <v>53</v>
      </c>
      <c r="F55" s="8" t="s">
        <v>169</v>
      </c>
      <c r="G55" s="9" t="s">
        <v>170</v>
      </c>
      <c r="H55" s="8" t="str">
        <f>"000205"</f>
        <v>000205</v>
      </c>
      <c r="I55" s="7">
        <v>43406</v>
      </c>
      <c r="J55" s="8" t="str">
        <f>"000091"</f>
        <v>000091</v>
      </c>
      <c r="K55" s="7">
        <v>43690</v>
      </c>
      <c r="L55" s="8" t="str">
        <f>"000119"</f>
        <v>000119</v>
      </c>
      <c r="M55" s="7">
        <v>43693</v>
      </c>
      <c r="N55" s="8">
        <v>18</v>
      </c>
      <c r="O55" s="8" t="str">
        <f>"005445"</f>
        <v>005445</v>
      </c>
      <c r="P55" s="7">
        <v>43738</v>
      </c>
      <c r="Q55" s="10">
        <v>9.9751999999999992</v>
      </c>
      <c r="R55" s="10">
        <v>1.0181199999999999</v>
      </c>
      <c r="S55" s="10">
        <v>8.9570799999999995</v>
      </c>
      <c r="T55" s="8">
        <v>13</v>
      </c>
      <c r="U55" s="7">
        <v>43752</v>
      </c>
      <c r="V55" s="8">
        <v>9945568501</v>
      </c>
      <c r="W55" s="9" t="s">
        <v>43</v>
      </c>
      <c r="X55" s="8" t="s">
        <v>171</v>
      </c>
      <c r="Y55" s="9" t="s">
        <v>172</v>
      </c>
      <c r="Z55" s="8" t="s">
        <v>48</v>
      </c>
      <c r="AA55" s="9" t="s">
        <v>49</v>
      </c>
      <c r="AB55" s="10">
        <v>9.9751999999999993E-2</v>
      </c>
    </row>
    <row r="56" spans="1:28" s="4" customFormat="1" ht="13" x14ac:dyDescent="0.3">
      <c r="A56" s="5">
        <v>2137</v>
      </c>
      <c r="B56" s="6" t="s">
        <v>162</v>
      </c>
      <c r="C56" s="7">
        <v>43752</v>
      </c>
      <c r="D56" s="5">
        <v>60</v>
      </c>
      <c r="E56" s="9" t="s">
        <v>53</v>
      </c>
      <c r="F56" s="8" t="s">
        <v>173</v>
      </c>
      <c r="G56" s="9" t="s">
        <v>174</v>
      </c>
      <c r="H56" s="8" t="str">
        <f>"000206"</f>
        <v>000206</v>
      </c>
      <c r="I56" s="7">
        <v>43406</v>
      </c>
      <c r="J56" s="8" t="str">
        <f>"000085"</f>
        <v>000085</v>
      </c>
      <c r="K56" s="7">
        <v>43663</v>
      </c>
      <c r="L56" s="8" t="str">
        <f>"000113"</f>
        <v>000113</v>
      </c>
      <c r="M56" s="7">
        <v>43671</v>
      </c>
      <c r="N56" s="8">
        <v>18</v>
      </c>
      <c r="O56" s="8" t="str">
        <f>"005459"</f>
        <v>005459</v>
      </c>
      <c r="P56" s="7">
        <v>43739</v>
      </c>
      <c r="Q56" s="10">
        <v>4.8945100000000004</v>
      </c>
      <c r="R56" s="10">
        <v>0.52339999999999998</v>
      </c>
      <c r="S56" s="10">
        <v>4.3711099999999998</v>
      </c>
      <c r="T56" s="8">
        <v>13</v>
      </c>
      <c r="U56" s="7">
        <v>43752</v>
      </c>
      <c r="V56" s="8">
        <v>9945568501</v>
      </c>
      <c r="W56" s="9" t="s">
        <v>43</v>
      </c>
      <c r="X56" s="8" t="s">
        <v>175</v>
      </c>
      <c r="Y56" s="9" t="s">
        <v>176</v>
      </c>
      <c r="Z56" s="8" t="s">
        <v>48</v>
      </c>
      <c r="AA56" s="9" t="s">
        <v>49</v>
      </c>
      <c r="AB56" s="10">
        <v>4.8945100000000005E-2</v>
      </c>
    </row>
    <row r="57" spans="1:28" s="4" customFormat="1" ht="13" x14ac:dyDescent="0.3">
      <c r="A57" s="5">
        <v>2138</v>
      </c>
      <c r="B57" s="6" t="s">
        <v>162</v>
      </c>
      <c r="C57" s="7">
        <v>43752</v>
      </c>
      <c r="D57" s="5">
        <v>60</v>
      </c>
      <c r="E57" s="9" t="s">
        <v>53</v>
      </c>
      <c r="F57" s="8" t="s">
        <v>177</v>
      </c>
      <c r="G57" s="9" t="s">
        <v>178</v>
      </c>
      <c r="H57" s="8" t="str">
        <f>"000204"</f>
        <v>000204</v>
      </c>
      <c r="I57" s="7">
        <v>43406</v>
      </c>
      <c r="J57" s="8" t="str">
        <f>"000084"</f>
        <v>000084</v>
      </c>
      <c r="K57" s="7">
        <v>43663</v>
      </c>
      <c r="L57" s="8" t="str">
        <f>"000112"</f>
        <v>000112</v>
      </c>
      <c r="M57" s="7">
        <v>43671</v>
      </c>
      <c r="N57" s="8">
        <v>18</v>
      </c>
      <c r="O57" s="8" t="str">
        <f>"005460"</f>
        <v>005460</v>
      </c>
      <c r="P57" s="7">
        <v>43739</v>
      </c>
      <c r="Q57" s="10">
        <v>4.88</v>
      </c>
      <c r="R57" s="10">
        <v>0.52363999999999999</v>
      </c>
      <c r="S57" s="10">
        <v>4.3563599999999996</v>
      </c>
      <c r="T57" s="8">
        <v>13</v>
      </c>
      <c r="U57" s="7">
        <v>43752</v>
      </c>
      <c r="V57" s="8">
        <v>9945568501</v>
      </c>
      <c r="W57" s="9" t="s">
        <v>43</v>
      </c>
      <c r="X57" s="8" t="s">
        <v>179</v>
      </c>
      <c r="Y57" s="9" t="s">
        <v>180</v>
      </c>
      <c r="Z57" s="8" t="s">
        <v>48</v>
      </c>
      <c r="AA57" s="9" t="s">
        <v>49</v>
      </c>
      <c r="AB57" s="10">
        <v>4.8799999999999996E-2</v>
      </c>
    </row>
    <row r="58" spans="1:28" s="4" customFormat="1" ht="13" x14ac:dyDescent="0.3">
      <c r="A58" s="5">
        <v>2139</v>
      </c>
      <c r="B58" s="6" t="s">
        <v>162</v>
      </c>
      <c r="C58" s="7">
        <v>43752</v>
      </c>
      <c r="D58" s="5">
        <v>60</v>
      </c>
      <c r="E58" s="9" t="s">
        <v>53</v>
      </c>
      <c r="F58" s="8" t="s">
        <v>181</v>
      </c>
      <c r="G58" s="9" t="s">
        <v>182</v>
      </c>
      <c r="H58" s="8" t="str">
        <f>"000201"</f>
        <v>000201</v>
      </c>
      <c r="I58" s="7">
        <v>43406</v>
      </c>
      <c r="J58" s="8" t="str">
        <f>"000071"</f>
        <v>000071</v>
      </c>
      <c r="K58" s="7">
        <v>43645</v>
      </c>
      <c r="L58" s="8" t="str">
        <f>"000090"</f>
        <v>000090</v>
      </c>
      <c r="M58" s="7">
        <v>43645</v>
      </c>
      <c r="N58" s="8">
        <v>18</v>
      </c>
      <c r="O58" s="8" t="str">
        <f>"005467"</f>
        <v>005467</v>
      </c>
      <c r="P58" s="7">
        <v>43739</v>
      </c>
      <c r="Q58" s="10">
        <v>4.9407500000000004</v>
      </c>
      <c r="R58" s="10">
        <v>0.43985000000000002</v>
      </c>
      <c r="S58" s="10">
        <v>4.5008999999999997</v>
      </c>
      <c r="T58" s="8">
        <v>13</v>
      </c>
      <c r="U58" s="7">
        <v>43752</v>
      </c>
      <c r="V58" s="8">
        <v>9945568501</v>
      </c>
      <c r="W58" s="9" t="s">
        <v>43</v>
      </c>
      <c r="X58" s="8" t="s">
        <v>183</v>
      </c>
      <c r="Y58" s="9" t="s">
        <v>184</v>
      </c>
      <c r="Z58" s="8" t="s">
        <v>48</v>
      </c>
      <c r="AA58" s="9" t="s">
        <v>49</v>
      </c>
      <c r="AB58" s="10">
        <v>4.9407500000000007E-2</v>
      </c>
    </row>
    <row r="59" spans="1:28" s="4" customFormat="1" ht="13" x14ac:dyDescent="0.3">
      <c r="A59" s="5">
        <v>2140</v>
      </c>
      <c r="B59" s="6" t="s">
        <v>162</v>
      </c>
      <c r="C59" s="7">
        <v>43752</v>
      </c>
      <c r="D59" s="5">
        <v>60</v>
      </c>
      <c r="E59" s="9" t="s">
        <v>53</v>
      </c>
      <c r="F59" s="8" t="s">
        <v>185</v>
      </c>
      <c r="G59" s="9" t="s">
        <v>186</v>
      </c>
      <c r="H59" s="8" t="str">
        <f>"000270"</f>
        <v>000270</v>
      </c>
      <c r="I59" s="7">
        <v>43465</v>
      </c>
      <c r="J59" s="8" t="str">
        <f>"000127"</f>
        <v>000127</v>
      </c>
      <c r="K59" s="7">
        <v>43727</v>
      </c>
      <c r="L59" s="8" t="str">
        <f>"000160"</f>
        <v>000160</v>
      </c>
      <c r="M59" s="7">
        <v>43728</v>
      </c>
      <c r="N59" s="8">
        <v>17</v>
      </c>
      <c r="O59" s="8" t="str">
        <f>"005717"</f>
        <v>005717</v>
      </c>
      <c r="P59" s="7">
        <v>43748</v>
      </c>
      <c r="Q59" s="10">
        <v>9.9617699999999996</v>
      </c>
      <c r="R59" s="10">
        <v>0.73373999999999995</v>
      </c>
      <c r="S59" s="10">
        <v>9.2280300000000004</v>
      </c>
      <c r="T59" s="8">
        <v>13</v>
      </c>
      <c r="U59" s="7">
        <v>43752</v>
      </c>
      <c r="V59" s="8">
        <v>9945568501</v>
      </c>
      <c r="W59" s="9" t="s">
        <v>43</v>
      </c>
      <c r="X59" s="8" t="s">
        <v>41</v>
      </c>
      <c r="Y59" s="9" t="s">
        <v>42</v>
      </c>
      <c r="Z59" s="8" t="s">
        <v>48</v>
      </c>
      <c r="AA59" s="9" t="s">
        <v>49</v>
      </c>
      <c r="AB59" s="10">
        <v>9.961769999999999E-2</v>
      </c>
    </row>
    <row r="60" spans="1:28" s="4" customFormat="1" ht="13" x14ac:dyDescent="0.3">
      <c r="A60" s="5">
        <v>2141</v>
      </c>
      <c r="B60" s="6" t="s">
        <v>162</v>
      </c>
      <c r="C60" s="7">
        <v>43757</v>
      </c>
      <c r="D60" s="5">
        <v>60</v>
      </c>
      <c r="E60" s="9" t="s">
        <v>53</v>
      </c>
      <c r="F60" s="8" t="s">
        <v>187</v>
      </c>
      <c r="G60" s="9" t="s">
        <v>188</v>
      </c>
      <c r="H60" s="8" t="str">
        <f>"000305"</f>
        <v>000305</v>
      </c>
      <c r="I60" s="7">
        <v>43512</v>
      </c>
      <c r="J60" s="8" t="str">
        <f>"000111"</f>
        <v>000111</v>
      </c>
      <c r="K60" s="7">
        <v>43706</v>
      </c>
      <c r="L60" s="8" t="str">
        <f>"000138"</f>
        <v>000138</v>
      </c>
      <c r="M60" s="7">
        <v>43707</v>
      </c>
      <c r="N60" s="8">
        <v>17</v>
      </c>
      <c r="O60" s="8" t="str">
        <f>"005860"</f>
        <v>005860</v>
      </c>
      <c r="P60" s="7">
        <v>43757</v>
      </c>
      <c r="Q60" s="10">
        <v>41.269950000000001</v>
      </c>
      <c r="R60" s="10">
        <v>1.6536299999999999</v>
      </c>
      <c r="S60" s="10">
        <v>39.616320000000002</v>
      </c>
      <c r="T60" s="8">
        <v>13</v>
      </c>
      <c r="U60" s="7">
        <v>43757</v>
      </c>
      <c r="V60" s="8">
        <v>9945568501</v>
      </c>
      <c r="W60" s="9" t="s">
        <v>189</v>
      </c>
      <c r="X60" s="8" t="s">
        <v>190</v>
      </c>
      <c r="Y60" s="9" t="s">
        <v>191</v>
      </c>
      <c r="Z60" s="8" t="s">
        <v>48</v>
      </c>
      <c r="AA60" s="9" t="s">
        <v>49</v>
      </c>
      <c r="AB60" s="10">
        <v>0.4126995</v>
      </c>
    </row>
    <row r="61" spans="1:28" s="4" customFormat="1" ht="13" x14ac:dyDescent="0.3">
      <c r="A61" s="5">
        <v>2142</v>
      </c>
      <c r="B61" s="6" t="s">
        <v>162</v>
      </c>
      <c r="C61" s="7">
        <v>43757</v>
      </c>
      <c r="D61" s="5">
        <v>60</v>
      </c>
      <c r="E61" s="9" t="s">
        <v>53</v>
      </c>
      <c r="F61" s="8" t="s">
        <v>192</v>
      </c>
      <c r="G61" s="9" t="s">
        <v>193</v>
      </c>
      <c r="H61" s="8" t="str">
        <f>"000091"</f>
        <v>000091</v>
      </c>
      <c r="I61" s="7">
        <v>43358</v>
      </c>
      <c r="J61" s="8" t="str">
        <f>"000099"</f>
        <v>000099</v>
      </c>
      <c r="K61" s="7">
        <v>43358</v>
      </c>
      <c r="L61" s="8" t="str">
        <f>"000144"</f>
        <v>000144</v>
      </c>
      <c r="M61" s="7">
        <v>43358</v>
      </c>
      <c r="N61" s="8">
        <v>18</v>
      </c>
      <c r="O61" s="8" t="str">
        <f>"005806"</f>
        <v>005806</v>
      </c>
      <c r="P61" s="7">
        <v>43755</v>
      </c>
      <c r="Q61" s="10">
        <v>13.14575</v>
      </c>
      <c r="R61" s="10">
        <v>1.1291</v>
      </c>
      <c r="S61" s="10">
        <v>12.01665</v>
      </c>
      <c r="T61" s="8">
        <v>13</v>
      </c>
      <c r="U61" s="7">
        <v>43757</v>
      </c>
      <c r="V61" s="8">
        <v>9606603787</v>
      </c>
      <c r="W61" s="9" t="s">
        <v>43</v>
      </c>
      <c r="X61" s="8" t="s">
        <v>194</v>
      </c>
      <c r="Y61" s="9" t="s">
        <v>195</v>
      </c>
      <c r="Z61" s="8" t="s">
        <v>48</v>
      </c>
      <c r="AA61" s="9" t="s">
        <v>49</v>
      </c>
      <c r="AB61" s="10">
        <v>0.1314575</v>
      </c>
    </row>
    <row r="62" spans="1:28" s="4" customFormat="1" ht="13" x14ac:dyDescent="0.3">
      <c r="A62" s="5">
        <v>2143</v>
      </c>
      <c r="B62" s="6" t="s">
        <v>196</v>
      </c>
      <c r="C62" s="7">
        <v>43801</v>
      </c>
      <c r="D62" s="5">
        <v>60</v>
      </c>
      <c r="E62" s="9" t="s">
        <v>53</v>
      </c>
      <c r="F62" s="8" t="s">
        <v>197</v>
      </c>
      <c r="G62" s="9" t="s">
        <v>198</v>
      </c>
      <c r="H62" s="8" t="str">
        <f>"000088"</f>
        <v>000088</v>
      </c>
      <c r="I62" s="7">
        <v>43463</v>
      </c>
      <c r="J62" s="8" t="str">
        <f>"000090"</f>
        <v>000090</v>
      </c>
      <c r="K62" s="7">
        <v>43732</v>
      </c>
      <c r="L62" s="8" t="str">
        <f>"000089"</f>
        <v>000089</v>
      </c>
      <c r="M62" s="7">
        <v>43732</v>
      </c>
      <c r="N62" s="8">
        <v>18</v>
      </c>
      <c r="O62" s="8" t="str">
        <f>"006413"</f>
        <v>006413</v>
      </c>
      <c r="P62" s="7">
        <v>43795</v>
      </c>
      <c r="Q62" s="10">
        <v>9.8883500000000009</v>
      </c>
      <c r="R62" s="10">
        <v>1.2542199999999999</v>
      </c>
      <c r="S62" s="10">
        <v>8.6341300000000007</v>
      </c>
      <c r="T62" s="8">
        <v>13</v>
      </c>
      <c r="U62" s="7">
        <v>43801</v>
      </c>
      <c r="V62" s="8">
        <v>9945525730</v>
      </c>
      <c r="W62" s="9" t="s">
        <v>40</v>
      </c>
      <c r="X62" s="8" t="s">
        <v>58</v>
      </c>
      <c r="Y62" s="9" t="s">
        <v>59</v>
      </c>
      <c r="Z62" s="8" t="s">
        <v>46</v>
      </c>
      <c r="AA62" s="9" t="s">
        <v>47</v>
      </c>
      <c r="AB62" s="10">
        <v>9.8883500000000013E-2</v>
      </c>
    </row>
    <row r="63" spans="1:28" s="4" customFormat="1" ht="13" x14ac:dyDescent="0.3">
      <c r="A63" s="5">
        <v>2144</v>
      </c>
      <c r="B63" s="6" t="s">
        <v>196</v>
      </c>
      <c r="C63" s="7">
        <v>43801</v>
      </c>
      <c r="D63" s="5">
        <v>60</v>
      </c>
      <c r="E63" s="9" t="s">
        <v>53</v>
      </c>
      <c r="F63" s="8" t="s">
        <v>199</v>
      </c>
      <c r="G63" s="9" t="s">
        <v>200</v>
      </c>
      <c r="H63" s="8" t="str">
        <f>"000095"</f>
        <v>000095</v>
      </c>
      <c r="I63" s="7">
        <v>43523</v>
      </c>
      <c r="J63" s="8" t="str">
        <f>"000089"</f>
        <v>000089</v>
      </c>
      <c r="K63" s="7">
        <v>43732</v>
      </c>
      <c r="L63" s="8" t="str">
        <f>"000090"</f>
        <v>000090</v>
      </c>
      <c r="M63" s="7">
        <v>43732</v>
      </c>
      <c r="N63" s="8">
        <v>18</v>
      </c>
      <c r="O63" s="8" t="str">
        <f>"006415"</f>
        <v>006415</v>
      </c>
      <c r="P63" s="7">
        <v>43795</v>
      </c>
      <c r="Q63" s="10">
        <v>21.942360000000001</v>
      </c>
      <c r="R63" s="10">
        <v>2.7544300000000002</v>
      </c>
      <c r="S63" s="10">
        <v>19.187930000000001</v>
      </c>
      <c r="T63" s="8">
        <v>13</v>
      </c>
      <c r="U63" s="7">
        <v>43801</v>
      </c>
      <c r="V63" s="8">
        <v>9945525730</v>
      </c>
      <c r="W63" s="9" t="s">
        <v>35</v>
      </c>
      <c r="X63" s="8" t="s">
        <v>58</v>
      </c>
      <c r="Y63" s="9" t="s">
        <v>59</v>
      </c>
      <c r="Z63" s="8" t="s">
        <v>46</v>
      </c>
      <c r="AA63" s="9" t="s">
        <v>47</v>
      </c>
      <c r="AB63" s="10">
        <v>0.2194236</v>
      </c>
    </row>
    <row r="64" spans="1:28" s="4" customFormat="1" ht="13" x14ac:dyDescent="0.3">
      <c r="A64" s="5">
        <v>2145</v>
      </c>
      <c r="B64" s="6" t="s">
        <v>196</v>
      </c>
      <c r="C64" s="7">
        <v>43805</v>
      </c>
      <c r="D64" s="5">
        <v>60</v>
      </c>
      <c r="E64" s="9" t="s">
        <v>53</v>
      </c>
      <c r="F64" s="8" t="s">
        <v>201</v>
      </c>
      <c r="G64" s="9" t="s">
        <v>202</v>
      </c>
      <c r="H64" s="8" t="str">
        <f>"000044"</f>
        <v>000044</v>
      </c>
      <c r="I64" s="7">
        <v>42506</v>
      </c>
      <c r="J64" s="8" t="str">
        <f>"000022"</f>
        <v>000022</v>
      </c>
      <c r="K64" s="7">
        <v>43243</v>
      </c>
      <c r="L64" s="8" t="str">
        <f>"000037"</f>
        <v>000037</v>
      </c>
      <c r="M64" s="7">
        <v>43243</v>
      </c>
      <c r="N64" s="8">
        <v>16</v>
      </c>
      <c r="O64" s="8" t="str">
        <f>"006520"</f>
        <v>006520</v>
      </c>
      <c r="P64" s="7">
        <v>43802</v>
      </c>
      <c r="Q64" s="10">
        <v>9.8832699999999996</v>
      </c>
      <c r="R64" s="10">
        <v>0.88251000000000002</v>
      </c>
      <c r="S64" s="10">
        <v>9.0007599999999996</v>
      </c>
      <c r="T64" s="8">
        <v>13</v>
      </c>
      <c r="U64" s="7">
        <v>43805</v>
      </c>
      <c r="V64" s="8">
        <v>9035660123</v>
      </c>
      <c r="W64" s="9" t="s">
        <v>203</v>
      </c>
      <c r="X64" s="8" t="s">
        <v>32</v>
      </c>
      <c r="Y64" s="9" t="s">
        <v>33</v>
      </c>
      <c r="Z64" s="8" t="s">
        <v>48</v>
      </c>
      <c r="AA64" s="9" t="s">
        <v>49</v>
      </c>
      <c r="AB64" s="10">
        <v>9.8832699999999996E-2</v>
      </c>
    </row>
    <row r="65" spans="1:28" s="4" customFormat="1" ht="13" x14ac:dyDescent="0.3">
      <c r="A65" s="5">
        <v>2146</v>
      </c>
      <c r="B65" s="6" t="s">
        <v>196</v>
      </c>
      <c r="C65" s="7">
        <v>43805</v>
      </c>
      <c r="D65" s="5">
        <v>60</v>
      </c>
      <c r="E65" s="9" t="s">
        <v>53</v>
      </c>
      <c r="F65" s="8" t="s">
        <v>204</v>
      </c>
      <c r="G65" s="9" t="s">
        <v>205</v>
      </c>
      <c r="H65" s="8" t="str">
        <f>"000235"</f>
        <v>000235</v>
      </c>
      <c r="I65" s="7">
        <v>43183</v>
      </c>
      <c r="J65" s="8" t="str">
        <f>"000024"</f>
        <v>000024</v>
      </c>
      <c r="K65" s="7">
        <v>43249</v>
      </c>
      <c r="L65" s="8" t="str">
        <f>"000038"</f>
        <v>000038</v>
      </c>
      <c r="M65" s="7">
        <v>43250</v>
      </c>
      <c r="N65" s="8">
        <v>18</v>
      </c>
      <c r="O65" s="8" t="str">
        <f>"006527"</f>
        <v>006527</v>
      </c>
      <c r="P65" s="7">
        <v>43802</v>
      </c>
      <c r="Q65" s="10">
        <v>49.79345</v>
      </c>
      <c r="R65" s="10">
        <v>4.5584100000000003</v>
      </c>
      <c r="S65" s="10">
        <v>45.235039999999998</v>
      </c>
      <c r="T65" s="8">
        <v>13</v>
      </c>
      <c r="U65" s="7">
        <v>43805</v>
      </c>
      <c r="V65" s="8">
        <v>9845030601</v>
      </c>
      <c r="W65" s="9" t="s">
        <v>52</v>
      </c>
      <c r="X65" s="8" t="s">
        <v>94</v>
      </c>
      <c r="Y65" s="9" t="s">
        <v>95</v>
      </c>
      <c r="Z65" s="8" t="s">
        <v>48</v>
      </c>
      <c r="AA65" s="9" t="s">
        <v>49</v>
      </c>
      <c r="AB65" s="10">
        <v>0.4979345</v>
      </c>
    </row>
    <row r="66" spans="1:28" s="4" customFormat="1" ht="13" x14ac:dyDescent="0.3">
      <c r="A66" s="5">
        <v>2147</v>
      </c>
      <c r="B66" s="6" t="s">
        <v>196</v>
      </c>
      <c r="C66" s="7">
        <v>43805</v>
      </c>
      <c r="D66" s="5">
        <v>60</v>
      </c>
      <c r="E66" s="9" t="s">
        <v>53</v>
      </c>
      <c r="F66" s="8" t="s">
        <v>206</v>
      </c>
      <c r="G66" s="9" t="s">
        <v>207</v>
      </c>
      <c r="H66" s="8" t="str">
        <f>"000242"</f>
        <v>000242</v>
      </c>
      <c r="I66" s="7">
        <v>43185</v>
      </c>
      <c r="J66" s="8" t="str">
        <f>"000023"</f>
        <v>000023</v>
      </c>
      <c r="K66" s="7">
        <v>43249</v>
      </c>
      <c r="L66" s="8" t="str">
        <f>"000039"</f>
        <v>000039</v>
      </c>
      <c r="M66" s="7">
        <v>43250</v>
      </c>
      <c r="N66" s="8">
        <v>18</v>
      </c>
      <c r="O66" s="8" t="str">
        <f>"006539"</f>
        <v>006539</v>
      </c>
      <c r="P66" s="7">
        <v>43802</v>
      </c>
      <c r="Q66" s="10">
        <v>49.886620000000001</v>
      </c>
      <c r="R66" s="10">
        <v>4.8536900000000003</v>
      </c>
      <c r="S66" s="10">
        <v>45.03293</v>
      </c>
      <c r="T66" s="8">
        <v>13</v>
      </c>
      <c r="U66" s="7">
        <v>43805</v>
      </c>
      <c r="V66" s="8">
        <v>9945568501</v>
      </c>
      <c r="W66" s="9" t="s">
        <v>52</v>
      </c>
      <c r="X66" s="8" t="s">
        <v>94</v>
      </c>
      <c r="Y66" s="9" t="s">
        <v>95</v>
      </c>
      <c r="Z66" s="8" t="s">
        <v>48</v>
      </c>
      <c r="AA66" s="9" t="s">
        <v>49</v>
      </c>
      <c r="AB66" s="10">
        <v>0.49886619999999998</v>
      </c>
    </row>
    <row r="67" spans="1:28" s="4" customFormat="1" ht="13" x14ac:dyDescent="0.3">
      <c r="A67" s="5">
        <v>2148</v>
      </c>
      <c r="B67" s="6" t="s">
        <v>196</v>
      </c>
      <c r="C67" s="7">
        <v>43809</v>
      </c>
      <c r="D67" s="5">
        <v>60</v>
      </c>
      <c r="E67" s="9" t="s">
        <v>53</v>
      </c>
      <c r="F67" s="8" t="s">
        <v>208</v>
      </c>
      <c r="G67" s="9" t="s">
        <v>209</v>
      </c>
      <c r="H67" s="8" t="str">
        <f>"000093"</f>
        <v>000093</v>
      </c>
      <c r="I67" s="7">
        <v>43363</v>
      </c>
      <c r="J67" s="8" t="str">
        <f>"000104"</f>
        <v>000104</v>
      </c>
      <c r="K67" s="7">
        <v>43368</v>
      </c>
      <c r="L67" s="8" t="str">
        <f>"000150"</f>
        <v>000150</v>
      </c>
      <c r="M67" s="7">
        <v>43369</v>
      </c>
      <c r="N67" s="8">
        <v>18</v>
      </c>
      <c r="O67" s="8" t="str">
        <f>"006675"</f>
        <v>006675</v>
      </c>
      <c r="P67" s="7">
        <v>43805</v>
      </c>
      <c r="Q67" s="10">
        <v>19.89</v>
      </c>
      <c r="R67" s="10">
        <v>1.7223999999999999</v>
      </c>
      <c r="S67" s="10">
        <v>18.1676</v>
      </c>
      <c r="T67" s="8">
        <v>13</v>
      </c>
      <c r="U67" s="7">
        <v>43809</v>
      </c>
      <c r="V67" s="8">
        <v>9945568501</v>
      </c>
      <c r="W67" s="9" t="s">
        <v>43</v>
      </c>
      <c r="X67" s="8" t="s">
        <v>194</v>
      </c>
      <c r="Y67" s="9" t="s">
        <v>195</v>
      </c>
      <c r="Z67" s="8" t="s">
        <v>48</v>
      </c>
      <c r="AA67" s="9" t="s">
        <v>49</v>
      </c>
      <c r="AB67" s="10">
        <v>0.19889999999999999</v>
      </c>
    </row>
    <row r="68" spans="1:28" s="4" customFormat="1" ht="13" x14ac:dyDescent="0.3">
      <c r="A68" s="5">
        <v>2149</v>
      </c>
      <c r="B68" s="6" t="s">
        <v>196</v>
      </c>
      <c r="C68" s="7">
        <v>43809</v>
      </c>
      <c r="D68" s="5">
        <v>60</v>
      </c>
      <c r="E68" s="9" t="s">
        <v>53</v>
      </c>
      <c r="F68" s="8" t="s">
        <v>210</v>
      </c>
      <c r="G68" s="9" t="s">
        <v>211</v>
      </c>
      <c r="H68" s="8" t="str">
        <f>"000106"</f>
        <v>000106</v>
      </c>
      <c r="I68" s="7">
        <v>43372</v>
      </c>
      <c r="J68" s="8" t="str">
        <f>"000107"</f>
        <v>000107</v>
      </c>
      <c r="K68" s="7">
        <v>43372</v>
      </c>
      <c r="L68" s="8" t="str">
        <f>"000161"</f>
        <v>000161</v>
      </c>
      <c r="M68" s="7">
        <v>43372</v>
      </c>
      <c r="N68" s="8">
        <v>18</v>
      </c>
      <c r="O68" s="8" t="str">
        <f>"006676"</f>
        <v>006676</v>
      </c>
      <c r="P68" s="7">
        <v>43805</v>
      </c>
      <c r="Q68" s="10">
        <v>14.940340000000001</v>
      </c>
      <c r="R68" s="10">
        <v>1.6083099999999999</v>
      </c>
      <c r="S68" s="10">
        <v>13.33203</v>
      </c>
      <c r="T68" s="8">
        <v>13</v>
      </c>
      <c r="U68" s="7">
        <v>43809</v>
      </c>
      <c r="V68" s="8">
        <v>9945568501</v>
      </c>
      <c r="W68" s="9" t="s">
        <v>43</v>
      </c>
      <c r="X68" s="8" t="s">
        <v>212</v>
      </c>
      <c r="Y68" s="9" t="s">
        <v>213</v>
      </c>
      <c r="Z68" s="8" t="s">
        <v>48</v>
      </c>
      <c r="AA68" s="9" t="s">
        <v>49</v>
      </c>
      <c r="AB68" s="10">
        <v>0.14940340000000002</v>
      </c>
    </row>
    <row r="69" spans="1:28" s="4" customFormat="1" ht="13" x14ac:dyDescent="0.3">
      <c r="A69" s="5">
        <v>2150</v>
      </c>
      <c r="B69" s="6" t="s">
        <v>196</v>
      </c>
      <c r="C69" s="7">
        <v>43816</v>
      </c>
      <c r="D69" s="5">
        <v>60</v>
      </c>
      <c r="E69" s="9" t="s">
        <v>53</v>
      </c>
      <c r="F69" s="8" t="s">
        <v>60</v>
      </c>
      <c r="G69" s="9" t="s">
        <v>61</v>
      </c>
      <c r="H69" s="8" t="str">
        <f>"000012"</f>
        <v>000012</v>
      </c>
      <c r="I69" s="7">
        <v>42947</v>
      </c>
      <c r="J69" s="8" t="str">
        <f>"000138"</f>
        <v>000138</v>
      </c>
      <c r="K69" s="7">
        <v>43798</v>
      </c>
      <c r="L69" s="8" t="str">
        <f>"000138"</f>
        <v>000138</v>
      </c>
      <c r="M69" s="7">
        <v>43798</v>
      </c>
      <c r="N69" s="8">
        <v>16</v>
      </c>
      <c r="O69" s="8" t="str">
        <f>"006830"</f>
        <v>006830</v>
      </c>
      <c r="P69" s="7">
        <v>43815</v>
      </c>
      <c r="Q69" s="10">
        <v>4.0358000000000001</v>
      </c>
      <c r="R69" s="10">
        <v>0.55520000000000003</v>
      </c>
      <c r="S69" s="10">
        <v>3.4805999999999999</v>
      </c>
      <c r="T69" s="8">
        <v>13</v>
      </c>
      <c r="U69" s="7">
        <v>43816</v>
      </c>
      <c r="V69" s="8">
        <v>9845860866</v>
      </c>
      <c r="W69" s="9" t="s">
        <v>62</v>
      </c>
      <c r="X69" s="8" t="s">
        <v>29</v>
      </c>
      <c r="Y69" s="9" t="s">
        <v>30</v>
      </c>
      <c r="Z69" s="8" t="s">
        <v>46</v>
      </c>
      <c r="AA69" s="9" t="s">
        <v>47</v>
      </c>
      <c r="AB69" s="10">
        <v>4.0357999999999998E-2</v>
      </c>
    </row>
    <row r="70" spans="1:28" s="4" customFormat="1" ht="13" x14ac:dyDescent="0.3">
      <c r="A70" s="5">
        <v>2151</v>
      </c>
      <c r="B70" s="6" t="s">
        <v>196</v>
      </c>
      <c r="C70" s="7">
        <v>43818</v>
      </c>
      <c r="D70" s="5">
        <v>60</v>
      </c>
      <c r="E70" s="9" t="s">
        <v>53</v>
      </c>
      <c r="F70" s="8" t="s">
        <v>214</v>
      </c>
      <c r="G70" s="9" t="s">
        <v>215</v>
      </c>
      <c r="H70" s="8" t="str">
        <f>"000252"</f>
        <v>000252</v>
      </c>
      <c r="I70" s="7">
        <v>43186</v>
      </c>
      <c r="J70" s="8" t="str">
        <f>"000025"</f>
        <v>000025</v>
      </c>
      <c r="K70" s="7">
        <v>43251</v>
      </c>
      <c r="L70" s="8" t="str">
        <f>"000040"</f>
        <v>000040</v>
      </c>
      <c r="M70" s="7">
        <v>43251</v>
      </c>
      <c r="N70" s="8">
        <v>18</v>
      </c>
      <c r="O70" s="8" t="str">
        <f>"006759"</f>
        <v>006759</v>
      </c>
      <c r="P70" s="7">
        <v>43811</v>
      </c>
      <c r="Q70" s="10">
        <v>49.833950000000002</v>
      </c>
      <c r="R70" s="10">
        <v>4.9724399999999997</v>
      </c>
      <c r="S70" s="10">
        <v>44.861510000000003</v>
      </c>
      <c r="T70" s="8">
        <v>13</v>
      </c>
      <c r="U70" s="7">
        <v>43818</v>
      </c>
      <c r="V70" s="8">
        <v>9945568501</v>
      </c>
      <c r="W70" s="9" t="s">
        <v>52</v>
      </c>
      <c r="X70" s="8" t="s">
        <v>94</v>
      </c>
      <c r="Y70" s="9" t="s">
        <v>95</v>
      </c>
      <c r="Z70" s="8" t="s">
        <v>48</v>
      </c>
      <c r="AA70" s="9" t="s">
        <v>49</v>
      </c>
      <c r="AB70" s="10">
        <v>0.49833949999999999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2020-01-28T11:52:26Z</dcterms:modified>
</cp:coreProperties>
</file>