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" l="1"/>
  <c r="L35" i="1"/>
  <c r="J35" i="1"/>
  <c r="H35" i="1"/>
  <c r="O34" i="1"/>
  <c r="L34" i="1"/>
  <c r="J34" i="1"/>
  <c r="H34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<sst xmlns="http://schemas.openxmlformats.org/spreadsheetml/2006/main" count="334" uniqueCount="132">
  <si>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</si>
  <si>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</si>
  <si>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</si>
  <si>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</si>
  <si>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</si>
  <si>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</si>
  <si>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</si>
  <si>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</si>
  <si>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</si>
  <si>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</si>
  <si>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</si>
  <si>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</si>
  <si>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</si>
  <si>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</si>
  <si>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</si>
  <si>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</si>
  <si>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</si>
  <si>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</si>
  <si>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</si>
  <si>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</si>
  <si>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</si>
  <si>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</si>
  <si>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</si>
  <si>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</si>
  <si>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</si>
  <si>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</si>
  <si>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</si>
  <si>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</si>
  <si>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</si>
  <si>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</si>
  <si>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</si>
  <si>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</si>
  <si>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</si>
  <si>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</si>
  <si>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P1878</t>
  </si>
  <si>
    <t>18per - Works (Bhagyajyothi, Sooru / Neeru Yojane and General) (54 Lakhs / New Wards)</t>
  </si>
  <si>
    <t>KRIDL</t>
  </si>
  <si>
    <t>P3075</t>
  </si>
  <si>
    <t>Special comprehensive development works in Bangalore city (Bangalore city in charge Minister Discretionary Grants)</t>
  </si>
  <si>
    <t>ddo089</t>
  </si>
  <si>
    <t xml:space="preserve"> Assistant Executive Engineer Electrical East Zone</t>
  </si>
  <si>
    <t>M/s KRIDL</t>
  </si>
  <si>
    <t>M/s Srinath Electricals</t>
  </si>
  <si>
    <t>Ramaswamy Palya</t>
  </si>
  <si>
    <t>062-17-000012</t>
  </si>
  <si>
    <t>Construction of new culverts at Ganga Bhavani layout in ward in ward 62 Ramaswamy palya</t>
  </si>
  <si>
    <t>N. Venkatesh</t>
  </si>
  <si>
    <t>ddo088</t>
  </si>
  <si>
    <t xml:space="preserve"> Assistant Executive Engineer Vasanthanagar East Zone</t>
  </si>
  <si>
    <t>062-17-000015</t>
  </si>
  <si>
    <t>Construction of CC Roads to MRS palya main roads surrounding roads in ward in ward 62 Ramaswamy palya</t>
  </si>
  <si>
    <t>S.C. Ramesh</t>
  </si>
  <si>
    <t>062-17-000016</t>
  </si>
  <si>
    <t>Providing CC to gully Roads at MRS Palya and surrounding Area in ward 62 Ramaswamy palya</t>
  </si>
  <si>
    <t>S.C. ramesh</t>
  </si>
  <si>
    <t>062-17-000048</t>
  </si>
  <si>
    <t>Providing missing slabs in Ward No 62</t>
  </si>
  <si>
    <t>Arun Kumara</t>
  </si>
  <si>
    <t>062-17-000054</t>
  </si>
  <si>
    <t>Improvements to drains and Desilting in Sheshadri road link and LandR side road in Ward No 62</t>
  </si>
  <si>
    <t>H. Dhananjaya</t>
  </si>
  <si>
    <t>062-16-000001</t>
  </si>
  <si>
    <t>Operation and Maintenance of street lights at Ramaswamypalyal area ward no,s 62 Package E 10 for one year.</t>
  </si>
  <si>
    <t>062-18-000001</t>
  </si>
  <si>
    <t>Providing energy efficient street lights and timers to Ramakka Block and surrounding area in ward no 62</t>
  </si>
  <si>
    <t>P3315</t>
  </si>
  <si>
    <t>Improvements of roads and drains at Ramaswamy palya and Chinnappa garden</t>
  </si>
  <si>
    <t>062-18-000003</t>
  </si>
  <si>
    <t>Providing energy efficient street light and timers to Annayyappa Block and surrounding area in ward no 62</t>
  </si>
  <si>
    <t>062-18-000004</t>
  </si>
  <si>
    <t>Providing energy efficient street light and timers to R.K Block and surrounding area in ward no 62</t>
  </si>
  <si>
    <t>062-18-000002</t>
  </si>
  <si>
    <t>Providing energy efficient street light and timers to Narayanappa Block and surrounding area in ward no 62</t>
  </si>
  <si>
    <t>062-18-000059</t>
  </si>
  <si>
    <t>Renovation toilet and houses at  Chinnappa Garden in ward no 62</t>
  </si>
  <si>
    <t>P3294</t>
  </si>
  <si>
    <t>14th Finance Commission Works - General Public ToiletandSeptage Maintenance</t>
  </si>
  <si>
    <t>062-18-000056</t>
  </si>
  <si>
    <t>Renovation toilet and houses at  RK Block 3rd  cross in ward no 62</t>
  </si>
  <si>
    <t>062-18-000055</t>
  </si>
  <si>
    <t>Renovation toilet and houses at  RK Block 1st cross in ward no 62</t>
  </si>
  <si>
    <t>062-17-000068</t>
  </si>
  <si>
    <t>Desilting of PG Road 2nd Cross in Ward No 62</t>
  </si>
  <si>
    <t>Tabrez Pasha</t>
  </si>
  <si>
    <t>062-17-000088</t>
  </si>
  <si>
    <t xml:space="preserve">Desilting of drains at Link road   in ward no 62 </t>
  </si>
  <si>
    <t>H.R. Shivaram</t>
  </si>
  <si>
    <t>P3177</t>
  </si>
  <si>
    <t>Developmental works in Ward No.62,92 and 110 ( Rs. 200.00 lakhs per each ward)</t>
  </si>
  <si>
    <t>062-17-000049</t>
  </si>
  <si>
    <t>Providing Name Boards in ward No 62</t>
  </si>
  <si>
    <t>062-17-000089</t>
  </si>
  <si>
    <t xml:space="preserve">Desilting of drains at 1st main road Chinnappa Garden and Crosses road   in ward no 62 </t>
  </si>
  <si>
    <t>062-17-000021</t>
  </si>
  <si>
    <t>Construction of Culverts and providing CC to cross Roads at west sides of MM road in ward no 62 Ramaswamy palya</t>
  </si>
  <si>
    <t>062-17-000019</t>
  </si>
  <si>
    <t>Desilting of Drains Culverts and improvement to ward no 62 Ramaswamy palya</t>
  </si>
  <si>
    <t>S C Ramesh</t>
  </si>
  <si>
    <t>062-19-000001</t>
  </si>
  <si>
    <t>COMPREHENSIVE DEVELOPMENTAL WORKS AT GANGABHAVANI BHADAVANE CROSS ROADS AND SURROUNDING AREAS IN WARD NO 62</t>
  </si>
  <si>
    <t>062-19-000002</t>
  </si>
  <si>
    <t>COMPREHENSIVE DEVELOPMENTAL WORKS AT  MRS PALYA 165 QUATRES ANDSURROUNDING AREAS IN WARD NO 62</t>
  </si>
  <si>
    <t>062-19-000004</t>
  </si>
  <si>
    <t>COMPREHENSIVE DEVELOPMENTAL WORKS AT AYYAPPA SCHOOL  AND SURROUNDING AREAS IN WARD NO 62</t>
  </si>
  <si>
    <t>062-19-000005</t>
  </si>
  <si>
    <t>COMPREHENSIVE DEVELOPMENTAL WORKS AT RAMAKKA BLOCK   AND SURROUNDING AREAS IN WARD NO 62</t>
  </si>
  <si>
    <t>KRIDl</t>
  </si>
  <si>
    <t>062-19-000003</t>
  </si>
  <si>
    <t>COMPREHENSIVE DEVELOPMENTAL WORKS AT  13TH CROSS CHINNAPPA GARDEN AND SURROUNDING AREAS IN WARD NO 62</t>
  </si>
  <si>
    <t>July</t>
  </si>
  <si>
    <t>062-17-000018</t>
  </si>
  <si>
    <t>Providing Cement concrete to near Kannada and telugu Higher primary school and surrounding cross roads of MRS Palya in ward 62 Ramaswamy palya</t>
  </si>
  <si>
    <t>S. C. Ramesh</t>
  </si>
  <si>
    <t>September</t>
  </si>
  <si>
    <t>062-16-000018</t>
  </si>
  <si>
    <t>Comprehensive development of roads and drains in ward No. 62. 63. 93. And 110 ( No of works 18) of Vasanth nagar sub division ( Package-01)</t>
  </si>
  <si>
    <t>M.S. Venkatesh</t>
  </si>
  <si>
    <t>P3106</t>
  </si>
  <si>
    <t>Nagarothana Works</t>
  </si>
  <si>
    <t>062-17-000020</t>
  </si>
  <si>
    <t>Providing Cement concrete to sri Siddi Vinayaka Temple Surrounding of MM Roads of Roads in ward no 62 Ramaswamy palya</t>
  </si>
  <si>
    <t>Vijaya Kumar.S</t>
  </si>
  <si>
    <t>062-17-000014</t>
  </si>
  <si>
    <t>Improvements to road and Desilting of culverts drains at MRS palya in ward in ward 62 Ramaswamy palya</t>
  </si>
  <si>
    <t>October</t>
  </si>
  <si>
    <t>December</t>
  </si>
  <si>
    <t>062-19-000057</t>
  </si>
  <si>
    <t>Comprehensive development of Muniswamiyappa road and surrounding areas in ward no 62 Shivajinagar</t>
  </si>
  <si>
    <t>P3409</t>
  </si>
  <si>
    <t>SFC Untied SC-SP/TSP Grant works</t>
  </si>
  <si>
    <t>062-19-000056</t>
  </si>
  <si>
    <t>Comprehensive development of Gangabhavani Badavane and surrounding areas in ward no 62 Shivajinagar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</si>
</sst>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abSelected="1" topLeftCell="A31" workbookViewId="0">
      <selection activeCell="A2" sqref="A2:XFD35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4.72656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2180</v>
      </c>
      <c r="B2" s="6" t="s">
        <v>28</v>
      </c>
      <c r="C2" s="7">
        <v>43566</v>
      </c>
      <c r="D2" s="8">
        <v>62</v>
      </c>
      <c r="E2" s="9" t="s">
        <v>43</v>
      </c>
      <c r="F2" s="8" t="s">
        <v>44</v>
      </c>
      <c r="G2" s="9" t="s">
        <v>45</v>
      </c>
      <c r="H2" s="8" t="str">
        <f>"000062"</f>
        <v>000062</v>
      </c>
      <c r="I2" s="7">
        <v>42992</v>
      </c>
      <c r="J2" s="8" t="str">
        <f>"000179"</f>
        <v>000179</v>
      </c>
      <c r="K2" s="7">
        <v>42916</v>
      </c>
      <c r="L2" s="8" t="str">
        <f>"000179"</f>
        <v>000179</v>
      </c>
      <c r="M2" s="7">
        <v>42916</v>
      </c>
      <c r="N2" s="8">
        <v>17</v>
      </c>
      <c r="O2" s="8" t="str">
        <f>"000110"</f>
        <v>000110</v>
      </c>
      <c r="P2" s="7">
        <v>43563</v>
      </c>
      <c r="Q2" s="10">
        <v>10.229850000000001</v>
      </c>
      <c r="R2" s="10">
        <v>1.3404</v>
      </c>
      <c r="S2" s="10">
        <v>8.8894500000000001</v>
      </c>
      <c r="T2" s="8">
        <v>12</v>
      </c>
      <c r="U2" s="7">
        <v>43566</v>
      </c>
      <c r="V2" s="8">
        <v>9686538999</v>
      </c>
      <c r="W2" s="9" t="s">
        <v>46</v>
      </c>
      <c r="X2" s="8" t="s">
        <v>37</v>
      </c>
      <c r="Y2" s="9" t="s">
        <v>38</v>
      </c>
      <c r="Z2" s="8" t="s">
        <v>47</v>
      </c>
      <c r="AA2" s="9" t="s">
        <v>48</v>
      </c>
      <c r="AB2" s="10">
        <f t="shared" ref="AB2:AB12" si="0">Q2/100</f>
        <v>0.10229850000000001</v>
      </c>
    </row>
    <row r="3" spans="1:28" s="4" customFormat="1" ht="13" x14ac:dyDescent="0.3">
      <c r="A3" s="5">
        <v>2181</v>
      </c>
      <c r="B3" s="6" t="s">
        <v>28</v>
      </c>
      <c r="C3" s="7">
        <v>43566</v>
      </c>
      <c r="D3" s="8">
        <v>62</v>
      </c>
      <c r="E3" s="9" t="s">
        <v>43</v>
      </c>
      <c r="F3" s="8" t="s">
        <v>49</v>
      </c>
      <c r="G3" s="9" t="s">
        <v>50</v>
      </c>
      <c r="H3" s="8" t="str">
        <f>"000137"</f>
        <v>000137</v>
      </c>
      <c r="I3" s="7">
        <v>43004</v>
      </c>
      <c r="J3" s="8" t="str">
        <f>"000184"</f>
        <v>000184</v>
      </c>
      <c r="K3" s="7">
        <v>42896</v>
      </c>
      <c r="L3" s="8" t="str">
        <f>"000184"</f>
        <v>000184</v>
      </c>
      <c r="M3" s="7">
        <v>42915</v>
      </c>
      <c r="N3" s="8">
        <v>17</v>
      </c>
      <c r="O3" s="8" t="str">
        <f>"000111"</f>
        <v>000111</v>
      </c>
      <c r="P3" s="7">
        <v>43563</v>
      </c>
      <c r="Q3" s="10">
        <v>20.707730000000002</v>
      </c>
      <c r="R3" s="10">
        <v>1.47865</v>
      </c>
      <c r="S3" s="10">
        <v>19.22908</v>
      </c>
      <c r="T3" s="8">
        <v>12</v>
      </c>
      <c r="U3" s="7">
        <v>43566</v>
      </c>
      <c r="V3" s="8">
        <v>9686539999</v>
      </c>
      <c r="W3" s="9" t="s">
        <v>51</v>
      </c>
      <c r="X3" s="8" t="s">
        <v>37</v>
      </c>
      <c r="Y3" s="9" t="s">
        <v>38</v>
      </c>
      <c r="Z3" s="8" t="s">
        <v>47</v>
      </c>
      <c r="AA3" s="9" t="s">
        <v>48</v>
      </c>
      <c r="AB3" s="10">
        <f t="shared" si="0"/>
        <v>0.20707730000000002</v>
      </c>
    </row>
    <row r="4" spans="1:28" s="4" customFormat="1" ht="13" x14ac:dyDescent="0.3">
      <c r="A4" s="5">
        <v>2182</v>
      </c>
      <c r="B4" s="6" t="s">
        <v>28</v>
      </c>
      <c r="C4" s="7">
        <v>43566</v>
      </c>
      <c r="D4" s="8">
        <v>62</v>
      </c>
      <c r="E4" s="9" t="s">
        <v>43</v>
      </c>
      <c r="F4" s="8" t="s">
        <v>52</v>
      </c>
      <c r="G4" s="9" t="s">
        <v>53</v>
      </c>
      <c r="H4" s="8" t="str">
        <f>"000134"</f>
        <v>000134</v>
      </c>
      <c r="I4" s="7">
        <v>43004</v>
      </c>
      <c r="J4" s="8" t="str">
        <f>"000155"</f>
        <v>000155</v>
      </c>
      <c r="K4" s="7">
        <v>42899</v>
      </c>
      <c r="L4" s="8" t="str">
        <f>"000185"</f>
        <v>000185</v>
      </c>
      <c r="M4" s="7">
        <v>42915</v>
      </c>
      <c r="N4" s="8">
        <v>17</v>
      </c>
      <c r="O4" s="8" t="str">
        <f>"000112"</f>
        <v>000112</v>
      </c>
      <c r="P4" s="7">
        <v>43563</v>
      </c>
      <c r="Q4" s="10">
        <v>20.683260000000001</v>
      </c>
      <c r="R4" s="10">
        <v>1.4783999999999999</v>
      </c>
      <c r="S4" s="10">
        <v>19.20486</v>
      </c>
      <c r="T4" s="8">
        <v>12</v>
      </c>
      <c r="U4" s="7">
        <v>43566</v>
      </c>
      <c r="V4" s="8">
        <v>9686538999</v>
      </c>
      <c r="W4" s="9" t="s">
        <v>54</v>
      </c>
      <c r="X4" s="8" t="s">
        <v>37</v>
      </c>
      <c r="Y4" s="9" t="s">
        <v>38</v>
      </c>
      <c r="Z4" s="8" t="s">
        <v>47</v>
      </c>
      <c r="AA4" s="9" t="s">
        <v>48</v>
      </c>
      <c r="AB4" s="10">
        <f t="shared" si="0"/>
        <v>0.20683260000000001</v>
      </c>
    </row>
    <row r="5" spans="1:28" s="4" customFormat="1" ht="13" x14ac:dyDescent="0.3">
      <c r="A5" s="5">
        <v>2183</v>
      </c>
      <c r="B5" s="6" t="s">
        <v>28</v>
      </c>
      <c r="C5" s="7">
        <v>43566</v>
      </c>
      <c r="D5" s="8">
        <v>62</v>
      </c>
      <c r="E5" s="9" t="s">
        <v>43</v>
      </c>
      <c r="F5" s="8" t="s">
        <v>55</v>
      </c>
      <c r="G5" s="9" t="s">
        <v>56</v>
      </c>
      <c r="H5" s="8" t="str">
        <f>"000003"</f>
        <v>000003</v>
      </c>
      <c r="I5" s="7">
        <v>42950</v>
      </c>
      <c r="J5" s="8" t="str">
        <f>"000135"</f>
        <v>000135</v>
      </c>
      <c r="K5" s="7">
        <v>42835</v>
      </c>
      <c r="L5" s="8" t="str">
        <f>"000173"</f>
        <v>000173</v>
      </c>
      <c r="M5" s="7">
        <v>42908</v>
      </c>
      <c r="N5" s="8">
        <v>17</v>
      </c>
      <c r="O5" s="8" t="str">
        <f>"000137"</f>
        <v>000137</v>
      </c>
      <c r="P5" s="7">
        <v>43563</v>
      </c>
      <c r="Q5" s="10">
        <v>7.8397699999999997</v>
      </c>
      <c r="R5" s="10">
        <v>0.97609999999999997</v>
      </c>
      <c r="S5" s="10">
        <v>6.8636699999999999</v>
      </c>
      <c r="T5" s="8">
        <v>12</v>
      </c>
      <c r="U5" s="7">
        <v>43566</v>
      </c>
      <c r="V5" s="8">
        <v>9448049099</v>
      </c>
      <c r="W5" s="9" t="s">
        <v>57</v>
      </c>
      <c r="X5" s="8" t="s">
        <v>32</v>
      </c>
      <c r="Y5" s="9" t="s">
        <v>33</v>
      </c>
      <c r="Z5" s="8" t="s">
        <v>47</v>
      </c>
      <c r="AA5" s="9" t="s">
        <v>48</v>
      </c>
      <c r="AB5" s="10">
        <f t="shared" si="0"/>
        <v>7.8397700000000001E-2</v>
      </c>
    </row>
    <row r="6" spans="1:28" s="4" customFormat="1" ht="13" x14ac:dyDescent="0.3">
      <c r="A6" s="5">
        <v>2184</v>
      </c>
      <c r="B6" s="6" t="s">
        <v>28</v>
      </c>
      <c r="C6" s="7">
        <v>43566</v>
      </c>
      <c r="D6" s="8">
        <v>62</v>
      </c>
      <c r="E6" s="9" t="s">
        <v>43</v>
      </c>
      <c r="F6" s="8" t="s">
        <v>58</v>
      </c>
      <c r="G6" s="9" t="s">
        <v>59</v>
      </c>
      <c r="H6" s="8" t="str">
        <f>"000002"</f>
        <v>000002</v>
      </c>
      <c r="I6" s="7">
        <v>42950</v>
      </c>
      <c r="J6" s="8" t="str">
        <f>"000139"</f>
        <v>000139</v>
      </c>
      <c r="K6" s="7">
        <v>42845</v>
      </c>
      <c r="L6" s="8" t="str">
        <f>"000175"</f>
        <v>000175</v>
      </c>
      <c r="M6" s="7">
        <v>42912</v>
      </c>
      <c r="N6" s="8">
        <v>17</v>
      </c>
      <c r="O6" s="8" t="str">
        <f>"000138"</f>
        <v>000138</v>
      </c>
      <c r="P6" s="7">
        <v>43563</v>
      </c>
      <c r="Q6" s="10">
        <v>12.845499999999999</v>
      </c>
      <c r="R6" s="10">
        <v>1.6188199999999999</v>
      </c>
      <c r="S6" s="10">
        <v>11.22668</v>
      </c>
      <c r="T6" s="8">
        <v>12</v>
      </c>
      <c r="U6" s="7">
        <v>43566</v>
      </c>
      <c r="V6" s="8">
        <v>9448049099</v>
      </c>
      <c r="W6" s="9" t="s">
        <v>60</v>
      </c>
      <c r="X6" s="8" t="s">
        <v>32</v>
      </c>
      <c r="Y6" s="9" t="s">
        <v>33</v>
      </c>
      <c r="Z6" s="8" t="s">
        <v>47</v>
      </c>
      <c r="AA6" s="9" t="s">
        <v>48</v>
      </c>
      <c r="AB6" s="10">
        <f t="shared" si="0"/>
        <v>0.12845499999999999</v>
      </c>
    </row>
    <row r="7" spans="1:28" s="4" customFormat="1" ht="13" x14ac:dyDescent="0.3">
      <c r="A7" s="5">
        <v>2185</v>
      </c>
      <c r="B7" s="6" t="s">
        <v>28</v>
      </c>
      <c r="C7" s="7">
        <v>43575</v>
      </c>
      <c r="D7" s="8">
        <v>62</v>
      </c>
      <c r="E7" s="9" t="s">
        <v>43</v>
      </c>
      <c r="F7" s="8" t="s">
        <v>61</v>
      </c>
      <c r="G7" s="9" t="s">
        <v>62</v>
      </c>
      <c r="H7" s="8" t="str">
        <f>"000007"</f>
        <v>000007</v>
      </c>
      <c r="I7" s="7">
        <v>42947</v>
      </c>
      <c r="J7" s="8" t="str">
        <f>"000194"</f>
        <v>000194</v>
      </c>
      <c r="K7" s="7">
        <v>43462</v>
      </c>
      <c r="L7" s="8" t="str">
        <f>"000187"</f>
        <v>000187</v>
      </c>
      <c r="M7" s="7">
        <v>43462</v>
      </c>
      <c r="N7" s="8">
        <v>16</v>
      </c>
      <c r="O7" s="8" t="str">
        <f>"000602"</f>
        <v>000602</v>
      </c>
      <c r="P7" s="7">
        <v>43570</v>
      </c>
      <c r="Q7" s="10">
        <v>3.8143600000000002</v>
      </c>
      <c r="R7" s="10">
        <v>0.36098999999999998</v>
      </c>
      <c r="S7" s="10">
        <v>3.4533700000000001</v>
      </c>
      <c r="T7" s="8">
        <v>20</v>
      </c>
      <c r="U7" s="7">
        <v>43575</v>
      </c>
      <c r="V7" s="8">
        <v>9845860866</v>
      </c>
      <c r="W7" s="9" t="s">
        <v>42</v>
      </c>
      <c r="X7" s="8" t="s">
        <v>29</v>
      </c>
      <c r="Y7" s="9" t="s">
        <v>30</v>
      </c>
      <c r="Z7" s="8" t="s">
        <v>39</v>
      </c>
      <c r="AA7" s="9" t="s">
        <v>40</v>
      </c>
      <c r="AB7" s="10">
        <f t="shared" si="0"/>
        <v>3.81436E-2</v>
      </c>
    </row>
    <row r="8" spans="1:28" s="4" customFormat="1" ht="13" x14ac:dyDescent="0.3">
      <c r="A8" s="5">
        <v>2186</v>
      </c>
      <c r="B8" s="6" t="s">
        <v>28</v>
      </c>
      <c r="C8" s="7">
        <v>43575</v>
      </c>
      <c r="D8" s="8">
        <v>62</v>
      </c>
      <c r="E8" s="9" t="s">
        <v>43</v>
      </c>
      <c r="F8" s="8" t="s">
        <v>61</v>
      </c>
      <c r="G8" s="9" t="s">
        <v>62</v>
      </c>
      <c r="H8" s="8" t="str">
        <f>"000007"</f>
        <v>000007</v>
      </c>
      <c r="I8" s="7">
        <v>42947</v>
      </c>
      <c r="J8" s="8" t="str">
        <f>"000194"</f>
        <v>000194</v>
      </c>
      <c r="K8" s="7">
        <v>43462</v>
      </c>
      <c r="L8" s="8" t="str">
        <f>"000187"</f>
        <v>000187</v>
      </c>
      <c r="M8" s="7">
        <v>43462</v>
      </c>
      <c r="N8" s="8">
        <v>16</v>
      </c>
      <c r="O8" s="8" t="str">
        <f>"000602"</f>
        <v>000602</v>
      </c>
      <c r="P8" s="7">
        <v>43570</v>
      </c>
      <c r="Q8" s="10">
        <v>0.22559999999999999</v>
      </c>
      <c r="R8" s="10">
        <v>5.7000000000000002E-2</v>
      </c>
      <c r="S8" s="10">
        <v>0.1686</v>
      </c>
      <c r="T8" s="8">
        <v>20</v>
      </c>
      <c r="U8" s="7">
        <v>43575</v>
      </c>
      <c r="V8" s="8">
        <v>9845860866</v>
      </c>
      <c r="W8" s="9" t="s">
        <v>42</v>
      </c>
      <c r="X8" s="8" t="s">
        <v>29</v>
      </c>
      <c r="Y8" s="9" t="s">
        <v>30</v>
      </c>
      <c r="Z8" s="8" t="s">
        <v>39</v>
      </c>
      <c r="AA8" s="9" t="s">
        <v>40</v>
      </c>
      <c r="AB8" s="10">
        <f t="shared" si="0"/>
        <v>2.2559999999999998E-3</v>
      </c>
    </row>
    <row r="9" spans="1:28" s="4" customFormat="1" ht="13" x14ac:dyDescent="0.3">
      <c r="A9" s="5">
        <v>2187</v>
      </c>
      <c r="B9" s="6" t="s">
        <v>28</v>
      </c>
      <c r="C9" s="7">
        <v>43575</v>
      </c>
      <c r="D9" s="8">
        <v>62</v>
      </c>
      <c r="E9" s="9" t="s">
        <v>43</v>
      </c>
      <c r="F9" s="8" t="s">
        <v>63</v>
      </c>
      <c r="G9" s="9" t="s">
        <v>64</v>
      </c>
      <c r="H9" s="8" t="str">
        <f>"000112"</f>
        <v>000112</v>
      </c>
      <c r="I9" s="7">
        <v>43138</v>
      </c>
      <c r="J9" s="8" t="str">
        <f>"000148"</f>
        <v>000148</v>
      </c>
      <c r="K9" s="7">
        <v>43138</v>
      </c>
      <c r="L9" s="8" t="str">
        <f>"000137"</f>
        <v>000137</v>
      </c>
      <c r="M9" s="7">
        <v>43138</v>
      </c>
      <c r="N9" s="8">
        <v>18</v>
      </c>
      <c r="O9" s="8" t="str">
        <f>"000486"</f>
        <v>000486</v>
      </c>
      <c r="P9" s="7">
        <v>43567</v>
      </c>
      <c r="Q9" s="10">
        <v>49.931910000000002</v>
      </c>
      <c r="R9" s="10">
        <v>6.2986399999999998</v>
      </c>
      <c r="S9" s="10">
        <v>43.633270000000003</v>
      </c>
      <c r="T9" s="8">
        <v>21</v>
      </c>
      <c r="U9" s="7">
        <v>43575</v>
      </c>
      <c r="V9" s="8">
        <v>9845860866</v>
      </c>
      <c r="W9" s="9" t="s">
        <v>41</v>
      </c>
      <c r="X9" s="8" t="s">
        <v>65</v>
      </c>
      <c r="Y9" s="9" t="s">
        <v>66</v>
      </c>
      <c r="Z9" s="8" t="s">
        <v>39</v>
      </c>
      <c r="AA9" s="9" t="s">
        <v>40</v>
      </c>
      <c r="AB9" s="10">
        <f t="shared" si="0"/>
        <v>0.49931910000000002</v>
      </c>
    </row>
    <row r="10" spans="1:28" s="4" customFormat="1" ht="13" x14ac:dyDescent="0.3">
      <c r="A10" s="5">
        <v>2188</v>
      </c>
      <c r="B10" s="6" t="s">
        <v>28</v>
      </c>
      <c r="C10" s="7">
        <v>43575</v>
      </c>
      <c r="D10" s="8">
        <v>62</v>
      </c>
      <c r="E10" s="9" t="s">
        <v>43</v>
      </c>
      <c r="F10" s="8" t="s">
        <v>67</v>
      </c>
      <c r="G10" s="9" t="s">
        <v>68</v>
      </c>
      <c r="H10" s="8" t="str">
        <f>"000115"</f>
        <v>000115</v>
      </c>
      <c r="I10" s="7">
        <v>43138</v>
      </c>
      <c r="J10" s="8" t="str">
        <f>"000154"</f>
        <v>000154</v>
      </c>
      <c r="K10" s="7">
        <v>43138</v>
      </c>
      <c r="L10" s="8" t="str">
        <f>"000139"</f>
        <v>000139</v>
      </c>
      <c r="M10" s="7">
        <v>43138</v>
      </c>
      <c r="N10" s="8">
        <v>18</v>
      </c>
      <c r="O10" s="8" t="str">
        <f>"000495"</f>
        <v>000495</v>
      </c>
      <c r="P10" s="7">
        <v>43567</v>
      </c>
      <c r="Q10" s="10">
        <v>49.960709999999999</v>
      </c>
      <c r="R10" s="10">
        <v>6.3067200000000003</v>
      </c>
      <c r="S10" s="10">
        <v>43.65399</v>
      </c>
      <c r="T10" s="8">
        <v>21</v>
      </c>
      <c r="U10" s="7">
        <v>43575</v>
      </c>
      <c r="V10" s="8">
        <v>9845860866</v>
      </c>
      <c r="W10" s="9" t="s">
        <v>41</v>
      </c>
      <c r="X10" s="8" t="s">
        <v>65</v>
      </c>
      <c r="Y10" s="9" t="s">
        <v>66</v>
      </c>
      <c r="Z10" s="8" t="s">
        <v>39</v>
      </c>
      <c r="AA10" s="9" t="s">
        <v>40</v>
      </c>
      <c r="AB10" s="10">
        <f t="shared" si="0"/>
        <v>0.49960709999999997</v>
      </c>
    </row>
    <row r="11" spans="1:28" s="4" customFormat="1" ht="13" x14ac:dyDescent="0.3">
      <c r="A11" s="5">
        <v>2189</v>
      </c>
      <c r="B11" s="6" t="s">
        <v>28</v>
      </c>
      <c r="C11" s="7">
        <v>43575</v>
      </c>
      <c r="D11" s="8">
        <v>62</v>
      </c>
      <c r="E11" s="9" t="s">
        <v>43</v>
      </c>
      <c r="F11" s="8" t="s">
        <v>69</v>
      </c>
      <c r="G11" s="9" t="s">
        <v>70</v>
      </c>
      <c r="H11" s="8" t="str">
        <f>"000113"</f>
        <v>000113</v>
      </c>
      <c r="I11" s="7">
        <v>43138</v>
      </c>
      <c r="J11" s="8" t="str">
        <f>"000150"</f>
        <v>000150</v>
      </c>
      <c r="K11" s="7">
        <v>43138</v>
      </c>
      <c r="L11" s="8" t="str">
        <f>"000143"</f>
        <v>000143</v>
      </c>
      <c r="M11" s="7">
        <v>43138</v>
      </c>
      <c r="N11" s="8">
        <v>18</v>
      </c>
      <c r="O11" s="8" t="str">
        <f>"000498"</f>
        <v>000498</v>
      </c>
      <c r="P11" s="7">
        <v>43567</v>
      </c>
      <c r="Q11" s="10">
        <v>49.951639999999998</v>
      </c>
      <c r="R11" s="10">
        <v>6.3075400000000004</v>
      </c>
      <c r="S11" s="10">
        <v>43.644100000000002</v>
      </c>
      <c r="T11" s="8">
        <v>21</v>
      </c>
      <c r="U11" s="7">
        <v>43575</v>
      </c>
      <c r="V11" s="8">
        <v>9845860866</v>
      </c>
      <c r="W11" s="9" t="s">
        <v>41</v>
      </c>
      <c r="X11" s="8" t="s">
        <v>65</v>
      </c>
      <c r="Y11" s="9" t="s">
        <v>66</v>
      </c>
      <c r="Z11" s="8" t="s">
        <v>39</v>
      </c>
      <c r="AA11" s="9" t="s">
        <v>40</v>
      </c>
      <c r="AB11" s="10">
        <f t="shared" si="0"/>
        <v>0.49951639999999997</v>
      </c>
    </row>
    <row r="12" spans="1:28" s="4" customFormat="1" ht="13" x14ac:dyDescent="0.3">
      <c r="A12" s="5">
        <v>2190</v>
      </c>
      <c r="B12" s="6" t="s">
        <v>28</v>
      </c>
      <c r="C12" s="7">
        <v>43582</v>
      </c>
      <c r="D12" s="8">
        <v>62</v>
      </c>
      <c r="E12" s="9" t="s">
        <v>43</v>
      </c>
      <c r="F12" s="8" t="s">
        <v>71</v>
      </c>
      <c r="G12" s="9" t="s">
        <v>72</v>
      </c>
      <c r="H12" s="8" t="str">
        <f>"000114"</f>
        <v>000114</v>
      </c>
      <c r="I12" s="7">
        <v>43138</v>
      </c>
      <c r="J12" s="8" t="str">
        <f>"000151"</f>
        <v>000151</v>
      </c>
      <c r="K12" s="7">
        <v>43138</v>
      </c>
      <c r="L12" s="8" t="str">
        <f>"000142"</f>
        <v>000142</v>
      </c>
      <c r="M12" s="7">
        <v>43138</v>
      </c>
      <c r="N12" s="8">
        <v>18</v>
      </c>
      <c r="O12" s="8" t="str">
        <f>"001058"</f>
        <v>001058</v>
      </c>
      <c r="P12" s="7">
        <v>43581</v>
      </c>
      <c r="Q12" s="10">
        <v>49.911990000000003</v>
      </c>
      <c r="R12" s="10">
        <v>6.2995400000000004</v>
      </c>
      <c r="S12" s="10">
        <v>43.612450000000003</v>
      </c>
      <c r="T12" s="8">
        <v>31</v>
      </c>
      <c r="U12" s="7">
        <v>43582</v>
      </c>
      <c r="V12" s="8">
        <v>9845860866</v>
      </c>
      <c r="W12" s="9" t="s">
        <v>41</v>
      </c>
      <c r="X12" s="8" t="s">
        <v>65</v>
      </c>
      <c r="Y12" s="9" t="s">
        <v>66</v>
      </c>
      <c r="Z12" s="8" t="s">
        <v>39</v>
      </c>
      <c r="AA12" s="9" t="s">
        <v>40</v>
      </c>
      <c r="AB12" s="10">
        <f t="shared" si="0"/>
        <v>0.49911990000000001</v>
      </c>
    </row>
    <row r="13" spans="1:28" s="4" customFormat="1" ht="13" x14ac:dyDescent="0.3">
      <c r="A13" s="5">
        <v>2191</v>
      </c>
      <c r="B13" s="6" t="s">
        <v>31</v>
      </c>
      <c r="C13" s="7">
        <v>43617</v>
      </c>
      <c r="D13" s="8">
        <v>62</v>
      </c>
      <c r="E13" s="9" t="s">
        <v>43</v>
      </c>
      <c r="F13" s="8" t="s">
        <v>73</v>
      </c>
      <c r="G13" s="9" t="s">
        <v>74</v>
      </c>
      <c r="H13" s="8" t="str">
        <f>"000186"</f>
        <v>000186</v>
      </c>
      <c r="I13" s="7">
        <v>43133</v>
      </c>
      <c r="J13" s="8" t="str">
        <f>"000169"</f>
        <v>000169</v>
      </c>
      <c r="K13" s="7">
        <v>43553</v>
      </c>
      <c r="L13" s="8" t="str">
        <f>"000244"</f>
        <v>000244</v>
      </c>
      <c r="M13" s="7">
        <v>43553</v>
      </c>
      <c r="N13" s="8">
        <v>18</v>
      </c>
      <c r="O13" s="8" t="str">
        <f>"002263"</f>
        <v>002263</v>
      </c>
      <c r="P13" s="7">
        <v>43614</v>
      </c>
      <c r="Q13" s="10">
        <v>19.91442</v>
      </c>
      <c r="R13" s="10">
        <v>2.24701</v>
      </c>
      <c r="S13" s="10">
        <v>17.66741</v>
      </c>
      <c r="T13" s="8">
        <v>69</v>
      </c>
      <c r="U13" s="7">
        <v>43617</v>
      </c>
      <c r="V13" s="8">
        <v>9886010878</v>
      </c>
      <c r="W13" s="9" t="s">
        <v>36</v>
      </c>
      <c r="X13" s="8" t="s">
        <v>75</v>
      </c>
      <c r="Y13" s="9" t="s">
        <v>76</v>
      </c>
      <c r="Z13" s="8" t="s">
        <v>47</v>
      </c>
      <c r="AA13" s="9" t="s">
        <v>48</v>
      </c>
      <c r="AB13" s="10">
        <v>0.19914419999999999</v>
      </c>
    </row>
    <row r="14" spans="1:28" s="4" customFormat="1" ht="13" x14ac:dyDescent="0.3">
      <c r="A14" s="5">
        <v>2192</v>
      </c>
      <c r="B14" s="6" t="s">
        <v>31</v>
      </c>
      <c r="C14" s="7">
        <v>43617</v>
      </c>
      <c r="D14" s="8">
        <v>62</v>
      </c>
      <c r="E14" s="9" t="s">
        <v>43</v>
      </c>
      <c r="F14" s="8" t="s">
        <v>77</v>
      </c>
      <c r="G14" s="9" t="s">
        <v>78</v>
      </c>
      <c r="H14" s="8" t="str">
        <f>"000193"</f>
        <v>000193</v>
      </c>
      <c r="I14" s="7">
        <v>43133</v>
      </c>
      <c r="J14" s="8" t="str">
        <f>"000170"</f>
        <v>000170</v>
      </c>
      <c r="K14" s="7">
        <v>43553</v>
      </c>
      <c r="L14" s="8" t="str">
        <f>"000243"</f>
        <v>000243</v>
      </c>
      <c r="M14" s="7">
        <v>43553</v>
      </c>
      <c r="N14" s="8">
        <v>18</v>
      </c>
      <c r="O14" s="8" t="str">
        <f>"002264"</f>
        <v>002264</v>
      </c>
      <c r="P14" s="7">
        <v>43614</v>
      </c>
      <c r="Q14" s="10">
        <v>19.927869999999999</v>
      </c>
      <c r="R14" s="10">
        <v>2.2414900000000002</v>
      </c>
      <c r="S14" s="10">
        <v>17.68638</v>
      </c>
      <c r="T14" s="8">
        <v>69</v>
      </c>
      <c r="U14" s="7">
        <v>43617</v>
      </c>
      <c r="V14" s="8">
        <v>9886010878</v>
      </c>
      <c r="W14" s="9" t="s">
        <v>36</v>
      </c>
      <c r="X14" s="8" t="s">
        <v>75</v>
      </c>
      <c r="Y14" s="9" t="s">
        <v>76</v>
      </c>
      <c r="Z14" s="8" t="s">
        <v>47</v>
      </c>
      <c r="AA14" s="9" t="s">
        <v>48</v>
      </c>
      <c r="AB14" s="10">
        <v>0.19927869999999998</v>
      </c>
    </row>
    <row r="15" spans="1:28" s="4" customFormat="1" ht="13" x14ac:dyDescent="0.3">
      <c r="A15" s="5">
        <v>2193</v>
      </c>
      <c r="B15" s="6" t="s">
        <v>31</v>
      </c>
      <c r="C15" s="7">
        <v>43617</v>
      </c>
      <c r="D15" s="8">
        <v>62</v>
      </c>
      <c r="E15" s="9" t="s">
        <v>43</v>
      </c>
      <c r="F15" s="8" t="s">
        <v>79</v>
      </c>
      <c r="G15" s="9" t="s">
        <v>80</v>
      </c>
      <c r="H15" s="8" t="str">
        <f>"000191"</f>
        <v>000191</v>
      </c>
      <c r="I15" s="7">
        <v>43133</v>
      </c>
      <c r="J15" s="8" t="str">
        <f>"000171"</f>
        <v>000171</v>
      </c>
      <c r="K15" s="7">
        <v>43553</v>
      </c>
      <c r="L15" s="8" t="str">
        <f>"000245"</f>
        <v>000245</v>
      </c>
      <c r="M15" s="7">
        <v>43553</v>
      </c>
      <c r="N15" s="8">
        <v>18</v>
      </c>
      <c r="O15" s="8" t="str">
        <f>"002265"</f>
        <v>002265</v>
      </c>
      <c r="P15" s="7">
        <v>43614</v>
      </c>
      <c r="Q15" s="10">
        <v>19.954360000000001</v>
      </c>
      <c r="R15" s="10">
        <v>2.2431899999999998</v>
      </c>
      <c r="S15" s="10">
        <v>17.711169999999999</v>
      </c>
      <c r="T15" s="8">
        <v>69</v>
      </c>
      <c r="U15" s="7">
        <v>43617</v>
      </c>
      <c r="V15" s="8">
        <v>9886010878</v>
      </c>
      <c r="W15" s="9" t="s">
        <v>36</v>
      </c>
      <c r="X15" s="8" t="s">
        <v>75</v>
      </c>
      <c r="Y15" s="9" t="s">
        <v>76</v>
      </c>
      <c r="Z15" s="8" t="s">
        <v>47</v>
      </c>
      <c r="AA15" s="9" t="s">
        <v>48</v>
      </c>
      <c r="AB15" s="10">
        <v>0.19954360000000002</v>
      </c>
    </row>
    <row r="16" spans="1:28" s="4" customFormat="1" ht="13" x14ac:dyDescent="0.3">
      <c r="A16" s="5">
        <v>2194</v>
      </c>
      <c r="B16" s="6" t="s">
        <v>31</v>
      </c>
      <c r="C16" s="7">
        <v>43628</v>
      </c>
      <c r="D16" s="8">
        <v>62</v>
      </c>
      <c r="E16" s="9" t="s">
        <v>43</v>
      </c>
      <c r="F16" s="8" t="s">
        <v>81</v>
      </c>
      <c r="G16" s="9" t="s">
        <v>82</v>
      </c>
      <c r="H16" s="8" t="str">
        <f>"000047"</f>
        <v>000047</v>
      </c>
      <c r="I16" s="7">
        <v>42979</v>
      </c>
      <c r="J16" s="8" t="str">
        <f>"000165"</f>
        <v>000165</v>
      </c>
      <c r="K16" s="7">
        <v>42916</v>
      </c>
      <c r="L16" s="8" t="str">
        <f>"000034"</f>
        <v>000034</v>
      </c>
      <c r="M16" s="7">
        <v>42986</v>
      </c>
      <c r="N16" s="8">
        <v>17</v>
      </c>
      <c r="O16" s="8" t="str">
        <f>"002410"</f>
        <v>002410</v>
      </c>
      <c r="P16" s="7">
        <v>43622</v>
      </c>
      <c r="Q16" s="10">
        <v>2.9428100000000001</v>
      </c>
      <c r="R16" s="10">
        <v>0.34294999999999998</v>
      </c>
      <c r="S16" s="10">
        <v>2.5998600000000001</v>
      </c>
      <c r="T16" s="8">
        <v>76</v>
      </c>
      <c r="U16" s="7">
        <v>43628</v>
      </c>
      <c r="V16" s="8">
        <v>9856568599</v>
      </c>
      <c r="W16" s="9" t="s">
        <v>83</v>
      </c>
      <c r="X16" s="8" t="s">
        <v>32</v>
      </c>
      <c r="Y16" s="9" t="s">
        <v>33</v>
      </c>
      <c r="Z16" s="8" t="s">
        <v>47</v>
      </c>
      <c r="AA16" s="9" t="s">
        <v>48</v>
      </c>
      <c r="AB16" s="10">
        <v>2.9428100000000002E-2</v>
      </c>
    </row>
    <row r="17" spans="1:28" s="4" customFormat="1" ht="13" x14ac:dyDescent="0.3">
      <c r="A17" s="5">
        <v>2195</v>
      </c>
      <c r="B17" s="6" t="s">
        <v>31</v>
      </c>
      <c r="C17" s="7">
        <v>43628</v>
      </c>
      <c r="D17" s="8">
        <v>62</v>
      </c>
      <c r="E17" s="9" t="s">
        <v>43</v>
      </c>
      <c r="F17" s="8" t="s">
        <v>84</v>
      </c>
      <c r="G17" s="9" t="s">
        <v>85</v>
      </c>
      <c r="H17" s="8" t="str">
        <f>"000155"</f>
        <v>000155</v>
      </c>
      <c r="I17" s="7">
        <v>43038</v>
      </c>
      <c r="J17" s="8" t="str">
        <f>"000007"</f>
        <v>000007</v>
      </c>
      <c r="K17" s="7">
        <v>43040</v>
      </c>
      <c r="L17" s="8" t="str">
        <f>"000195"</f>
        <v>000195</v>
      </c>
      <c r="M17" s="7">
        <v>43041</v>
      </c>
      <c r="N17" s="8">
        <v>17</v>
      </c>
      <c r="O17" s="8" t="str">
        <f>"002411"</f>
        <v>002411</v>
      </c>
      <c r="P17" s="7">
        <v>43622</v>
      </c>
      <c r="Q17" s="10">
        <v>5.1648399999999999</v>
      </c>
      <c r="R17" s="10">
        <v>0.49669999999999997</v>
      </c>
      <c r="S17" s="10">
        <v>4.6681400000000002</v>
      </c>
      <c r="T17" s="8">
        <v>76</v>
      </c>
      <c r="U17" s="7">
        <v>43628</v>
      </c>
      <c r="V17" s="8">
        <v>9856235688</v>
      </c>
      <c r="W17" s="9" t="s">
        <v>86</v>
      </c>
      <c r="X17" s="8" t="s">
        <v>87</v>
      </c>
      <c r="Y17" s="9" t="s">
        <v>88</v>
      </c>
      <c r="Z17" s="8" t="s">
        <v>47</v>
      </c>
      <c r="AA17" s="9" t="s">
        <v>48</v>
      </c>
      <c r="AB17" s="10">
        <v>5.1648399999999997E-2</v>
      </c>
    </row>
    <row r="18" spans="1:28" s="4" customFormat="1" ht="13" x14ac:dyDescent="0.3">
      <c r="A18" s="5">
        <v>2196</v>
      </c>
      <c r="B18" s="6" t="s">
        <v>31</v>
      </c>
      <c r="C18" s="7">
        <v>43628</v>
      </c>
      <c r="D18" s="8">
        <v>62</v>
      </c>
      <c r="E18" s="9" t="s">
        <v>43</v>
      </c>
      <c r="F18" s="8" t="s">
        <v>89</v>
      </c>
      <c r="G18" s="9" t="s">
        <v>90</v>
      </c>
      <c r="H18" s="8" t="str">
        <f>"000156"</f>
        <v>000156</v>
      </c>
      <c r="I18" s="7">
        <v>43038</v>
      </c>
      <c r="J18" s="8" t="str">
        <f>"000004"</f>
        <v>000004</v>
      </c>
      <c r="K18" s="7">
        <v>43040</v>
      </c>
      <c r="L18" s="8" t="str">
        <f>"000198"</f>
        <v>000198</v>
      </c>
      <c r="M18" s="7">
        <v>43041</v>
      </c>
      <c r="N18" s="8">
        <v>17</v>
      </c>
      <c r="O18" s="8" t="str">
        <f>"002412"</f>
        <v>002412</v>
      </c>
      <c r="P18" s="7">
        <v>43622</v>
      </c>
      <c r="Q18" s="10">
        <v>14.8161</v>
      </c>
      <c r="R18" s="10">
        <v>1.8371500000000001</v>
      </c>
      <c r="S18" s="10">
        <v>12.978949999999999</v>
      </c>
      <c r="T18" s="8">
        <v>76</v>
      </c>
      <c r="U18" s="7">
        <v>43628</v>
      </c>
      <c r="V18" s="8">
        <v>9854565989</v>
      </c>
      <c r="W18" s="9" t="s">
        <v>60</v>
      </c>
      <c r="X18" s="8" t="s">
        <v>32</v>
      </c>
      <c r="Y18" s="9" t="s">
        <v>33</v>
      </c>
      <c r="Z18" s="8" t="s">
        <v>47</v>
      </c>
      <c r="AA18" s="9" t="s">
        <v>48</v>
      </c>
      <c r="AB18" s="10">
        <v>0.14816100000000001</v>
      </c>
    </row>
    <row r="19" spans="1:28" s="4" customFormat="1" ht="13" x14ac:dyDescent="0.3">
      <c r="A19" s="5">
        <v>2197</v>
      </c>
      <c r="B19" s="6" t="s">
        <v>31</v>
      </c>
      <c r="C19" s="7">
        <v>43628</v>
      </c>
      <c r="D19" s="8">
        <v>62</v>
      </c>
      <c r="E19" s="9" t="s">
        <v>43</v>
      </c>
      <c r="F19" s="8" t="s">
        <v>91</v>
      </c>
      <c r="G19" s="9" t="s">
        <v>92</v>
      </c>
      <c r="H19" s="8" t="str">
        <f>"000158"</f>
        <v>000158</v>
      </c>
      <c r="I19" s="7">
        <v>43041</v>
      </c>
      <c r="J19" s="8" t="str">
        <f>"000010"</f>
        <v>000010</v>
      </c>
      <c r="K19" s="7">
        <v>43042</v>
      </c>
      <c r="L19" s="8" t="str">
        <f>"000200"</f>
        <v>000200</v>
      </c>
      <c r="M19" s="7">
        <v>43043</v>
      </c>
      <c r="N19" s="8">
        <v>17</v>
      </c>
      <c r="O19" s="8" t="str">
        <f>"002413"</f>
        <v>002413</v>
      </c>
      <c r="P19" s="7">
        <v>43622</v>
      </c>
      <c r="Q19" s="10">
        <v>5.1360999999999999</v>
      </c>
      <c r="R19" s="10">
        <v>0.49393999999999999</v>
      </c>
      <c r="S19" s="10">
        <v>4.6421599999999996</v>
      </c>
      <c r="T19" s="8">
        <v>76</v>
      </c>
      <c r="U19" s="7">
        <v>43628</v>
      </c>
      <c r="V19" s="8">
        <v>9854565989</v>
      </c>
      <c r="W19" s="9" t="s">
        <v>86</v>
      </c>
      <c r="X19" s="8" t="s">
        <v>87</v>
      </c>
      <c r="Y19" s="9" t="s">
        <v>88</v>
      </c>
      <c r="Z19" s="8" t="s">
        <v>47</v>
      </c>
      <c r="AA19" s="9" t="s">
        <v>48</v>
      </c>
      <c r="AB19" s="10">
        <v>5.1360999999999997E-2</v>
      </c>
    </row>
    <row r="20" spans="1:28" s="4" customFormat="1" ht="13" x14ac:dyDescent="0.3">
      <c r="A20" s="5">
        <v>2198</v>
      </c>
      <c r="B20" s="6" t="s">
        <v>31</v>
      </c>
      <c r="C20" s="7">
        <v>43634</v>
      </c>
      <c r="D20" s="8">
        <v>62</v>
      </c>
      <c r="E20" s="9" t="s">
        <v>43</v>
      </c>
      <c r="F20" s="8" t="s">
        <v>93</v>
      </c>
      <c r="G20" s="9" t="s">
        <v>94</v>
      </c>
      <c r="H20" s="8" t="str">
        <f>"000132"</f>
        <v>000132</v>
      </c>
      <c r="I20" s="7">
        <v>43004</v>
      </c>
      <c r="J20" s="8" t="str">
        <f>"000018"</f>
        <v>000018</v>
      </c>
      <c r="K20" s="7">
        <v>43063</v>
      </c>
      <c r="L20" s="8" t="str">
        <f>"000211"</f>
        <v>000211</v>
      </c>
      <c r="M20" s="7">
        <v>43073</v>
      </c>
      <c r="N20" s="8">
        <v>17</v>
      </c>
      <c r="O20" s="8" t="str">
        <f>"002681"</f>
        <v>002681</v>
      </c>
      <c r="P20" s="7">
        <v>43628</v>
      </c>
      <c r="Q20" s="10">
        <v>20.473330000000001</v>
      </c>
      <c r="R20" s="10">
        <v>1.0442499999999999</v>
      </c>
      <c r="S20" s="10">
        <v>19.429079999999999</v>
      </c>
      <c r="T20" s="8">
        <v>88</v>
      </c>
      <c r="U20" s="7">
        <v>43634</v>
      </c>
      <c r="V20" s="8">
        <v>9686538999</v>
      </c>
      <c r="W20" s="9" t="s">
        <v>51</v>
      </c>
      <c r="X20" s="8" t="s">
        <v>37</v>
      </c>
      <c r="Y20" s="9" t="s">
        <v>38</v>
      </c>
      <c r="Z20" s="8" t="s">
        <v>47</v>
      </c>
      <c r="AA20" s="9" t="s">
        <v>48</v>
      </c>
      <c r="AB20" s="10">
        <v>0.20473330000000001</v>
      </c>
    </row>
    <row r="21" spans="1:28" s="4" customFormat="1" ht="13" x14ac:dyDescent="0.3">
      <c r="A21" s="5">
        <v>2199</v>
      </c>
      <c r="B21" s="6" t="s">
        <v>31</v>
      </c>
      <c r="C21" s="7">
        <v>43634</v>
      </c>
      <c r="D21" s="8">
        <v>62</v>
      </c>
      <c r="E21" s="9" t="s">
        <v>43</v>
      </c>
      <c r="F21" s="8" t="s">
        <v>95</v>
      </c>
      <c r="G21" s="9" t="s">
        <v>96</v>
      </c>
      <c r="H21" s="8" t="str">
        <f>"000095"</f>
        <v>000095</v>
      </c>
      <c r="I21" s="7">
        <v>42916</v>
      </c>
      <c r="J21" s="8" t="str">
        <f>"000019"</f>
        <v>000019</v>
      </c>
      <c r="K21" s="7">
        <v>43063</v>
      </c>
      <c r="L21" s="8" t="str">
        <f>"000212"</f>
        <v>000212</v>
      </c>
      <c r="M21" s="7">
        <v>43073</v>
      </c>
      <c r="N21" s="8">
        <v>17</v>
      </c>
      <c r="O21" s="8" t="str">
        <f>"002682"</f>
        <v>002682</v>
      </c>
      <c r="P21" s="7">
        <v>43628</v>
      </c>
      <c r="Q21" s="10">
        <v>20.582930000000001</v>
      </c>
      <c r="R21" s="10">
        <v>1.0505</v>
      </c>
      <c r="S21" s="10">
        <v>19.532430000000002</v>
      </c>
      <c r="T21" s="8">
        <v>88</v>
      </c>
      <c r="U21" s="7">
        <v>43634</v>
      </c>
      <c r="V21" s="8">
        <v>9686538999</v>
      </c>
      <c r="W21" s="9" t="s">
        <v>97</v>
      </c>
      <c r="X21" s="8" t="s">
        <v>37</v>
      </c>
      <c r="Y21" s="9" t="s">
        <v>38</v>
      </c>
      <c r="Z21" s="8" t="s">
        <v>47</v>
      </c>
      <c r="AA21" s="9" t="s">
        <v>48</v>
      </c>
      <c r="AB21" s="10">
        <v>0.20582930000000002</v>
      </c>
    </row>
    <row r="22" spans="1:28" s="4" customFormat="1" ht="13" x14ac:dyDescent="0.3">
      <c r="A22" s="5">
        <v>2200</v>
      </c>
      <c r="B22" s="6" t="s">
        <v>31</v>
      </c>
      <c r="C22" s="7">
        <v>43636</v>
      </c>
      <c r="D22" s="8">
        <v>62</v>
      </c>
      <c r="E22" s="9" t="s">
        <v>43</v>
      </c>
      <c r="F22" s="8" t="s">
        <v>98</v>
      </c>
      <c r="G22" s="9" t="s">
        <v>99</v>
      </c>
      <c r="H22" s="8" t="str">
        <f>"000160"</f>
        <v>000160</v>
      </c>
      <c r="I22" s="7">
        <v>43434</v>
      </c>
      <c r="J22" s="8" t="str">
        <f>"000006"</f>
        <v>000006</v>
      </c>
      <c r="K22" s="7">
        <v>43577</v>
      </c>
      <c r="L22" s="8" t="str">
        <f>"000011"</f>
        <v>000011</v>
      </c>
      <c r="M22" s="7">
        <v>43578</v>
      </c>
      <c r="N22" s="8">
        <v>19</v>
      </c>
      <c r="O22" s="8" t="str">
        <f>"002804"</f>
        <v>002804</v>
      </c>
      <c r="P22" s="7">
        <v>43633</v>
      </c>
      <c r="Q22" s="10">
        <v>49.990519999999997</v>
      </c>
      <c r="R22" s="10">
        <v>6.4425999999999997</v>
      </c>
      <c r="S22" s="10">
        <v>43.547919999999998</v>
      </c>
      <c r="T22" s="8">
        <v>90</v>
      </c>
      <c r="U22" s="7">
        <v>43636</v>
      </c>
      <c r="V22" s="8">
        <v>7019756337</v>
      </c>
      <c r="W22" s="9" t="s">
        <v>36</v>
      </c>
      <c r="X22" s="8" t="s">
        <v>34</v>
      </c>
      <c r="Y22" s="9" t="s">
        <v>35</v>
      </c>
      <c r="Z22" s="8" t="s">
        <v>47</v>
      </c>
      <c r="AA22" s="9" t="s">
        <v>48</v>
      </c>
      <c r="AB22" s="10">
        <v>0.49990519999999994</v>
      </c>
    </row>
    <row r="23" spans="1:28" s="4" customFormat="1" ht="13" x14ac:dyDescent="0.3">
      <c r="A23" s="5">
        <v>2201</v>
      </c>
      <c r="B23" s="6" t="s">
        <v>31</v>
      </c>
      <c r="C23" s="7">
        <v>43636</v>
      </c>
      <c r="D23" s="8">
        <v>62</v>
      </c>
      <c r="E23" s="9" t="s">
        <v>43</v>
      </c>
      <c r="F23" s="8" t="s">
        <v>100</v>
      </c>
      <c r="G23" s="9" t="s">
        <v>101</v>
      </c>
      <c r="H23" s="8" t="str">
        <f>"000161"</f>
        <v>000161</v>
      </c>
      <c r="I23" s="7">
        <v>43434</v>
      </c>
      <c r="J23" s="8" t="str">
        <f>"000005"</f>
        <v>000005</v>
      </c>
      <c r="K23" s="7">
        <v>43577</v>
      </c>
      <c r="L23" s="8" t="str">
        <f>"000010"</f>
        <v>000010</v>
      </c>
      <c r="M23" s="7">
        <v>43578</v>
      </c>
      <c r="N23" s="8">
        <v>19</v>
      </c>
      <c r="O23" s="8" t="str">
        <f>"002805"</f>
        <v>002805</v>
      </c>
      <c r="P23" s="7">
        <v>43633</v>
      </c>
      <c r="Q23" s="10">
        <v>49.232379999999999</v>
      </c>
      <c r="R23" s="10">
        <v>6.2457599999999998</v>
      </c>
      <c r="S23" s="10">
        <v>42.986620000000002</v>
      </c>
      <c r="T23" s="8">
        <v>90</v>
      </c>
      <c r="U23" s="7">
        <v>43636</v>
      </c>
      <c r="V23" s="8">
        <v>7019756337</v>
      </c>
      <c r="W23" s="9" t="s">
        <v>36</v>
      </c>
      <c r="X23" s="8" t="s">
        <v>34</v>
      </c>
      <c r="Y23" s="9" t="s">
        <v>35</v>
      </c>
      <c r="Z23" s="8" t="s">
        <v>47</v>
      </c>
      <c r="AA23" s="9" t="s">
        <v>48</v>
      </c>
      <c r="AB23" s="10">
        <v>0.49232379999999998</v>
      </c>
    </row>
    <row r="24" spans="1:28" s="4" customFormat="1" ht="13" x14ac:dyDescent="0.3">
      <c r="A24" s="5">
        <v>2202</v>
      </c>
      <c r="B24" s="6" t="s">
        <v>31</v>
      </c>
      <c r="C24" s="7">
        <v>43636</v>
      </c>
      <c r="D24" s="8">
        <v>62</v>
      </c>
      <c r="E24" s="9" t="s">
        <v>43</v>
      </c>
      <c r="F24" s="8" t="s">
        <v>102</v>
      </c>
      <c r="G24" s="9" t="s">
        <v>103</v>
      </c>
      <c r="H24" s="8" t="str">
        <f>"000163"</f>
        <v>000163</v>
      </c>
      <c r="I24" s="7">
        <v>43434</v>
      </c>
      <c r="J24" s="8" t="str">
        <f>"000004"</f>
        <v>000004</v>
      </c>
      <c r="K24" s="7">
        <v>43577</v>
      </c>
      <c r="L24" s="8" t="str">
        <f>"000009"</f>
        <v>000009</v>
      </c>
      <c r="M24" s="7">
        <v>43578</v>
      </c>
      <c r="N24" s="8">
        <v>19</v>
      </c>
      <c r="O24" s="8" t="str">
        <f>"002806"</f>
        <v>002806</v>
      </c>
      <c r="P24" s="7">
        <v>43633</v>
      </c>
      <c r="Q24" s="10">
        <v>49.975940000000001</v>
      </c>
      <c r="R24" s="10">
        <v>6.3409399999999998</v>
      </c>
      <c r="S24" s="10">
        <v>43.634999999999998</v>
      </c>
      <c r="T24" s="8">
        <v>90</v>
      </c>
      <c r="U24" s="7">
        <v>43636</v>
      </c>
      <c r="V24" s="8">
        <v>7019756337</v>
      </c>
      <c r="W24" s="9" t="s">
        <v>36</v>
      </c>
      <c r="X24" s="8" t="s">
        <v>34</v>
      </c>
      <c r="Y24" s="9" t="s">
        <v>35</v>
      </c>
      <c r="Z24" s="8" t="s">
        <v>47</v>
      </c>
      <c r="AA24" s="9" t="s">
        <v>48</v>
      </c>
      <c r="AB24" s="10">
        <v>0.49975940000000002</v>
      </c>
    </row>
    <row r="25" spans="1:28" s="4" customFormat="1" ht="13" x14ac:dyDescent="0.3">
      <c r="A25" s="5">
        <v>2203</v>
      </c>
      <c r="B25" s="6" t="s">
        <v>31</v>
      </c>
      <c r="C25" s="7">
        <v>43636</v>
      </c>
      <c r="D25" s="8">
        <v>62</v>
      </c>
      <c r="E25" s="9" t="s">
        <v>43</v>
      </c>
      <c r="F25" s="8" t="s">
        <v>104</v>
      </c>
      <c r="G25" s="9" t="s">
        <v>105</v>
      </c>
      <c r="H25" s="8" t="str">
        <f>"000164"</f>
        <v>000164</v>
      </c>
      <c r="I25" s="7">
        <v>43434</v>
      </c>
      <c r="J25" s="8" t="str">
        <f>"000007"</f>
        <v>000007</v>
      </c>
      <c r="K25" s="7">
        <v>43578</v>
      </c>
      <c r="L25" s="8" t="str">
        <f>"000012"</f>
        <v>000012</v>
      </c>
      <c r="M25" s="7">
        <v>43578</v>
      </c>
      <c r="N25" s="8">
        <v>19</v>
      </c>
      <c r="O25" s="8" t="str">
        <f>"002811"</f>
        <v>002811</v>
      </c>
      <c r="P25" s="7">
        <v>43633</v>
      </c>
      <c r="Q25" s="10">
        <v>49.987659999999998</v>
      </c>
      <c r="R25" s="10">
        <v>6.4176399999999996</v>
      </c>
      <c r="S25" s="10">
        <v>43.57002</v>
      </c>
      <c r="T25" s="8">
        <v>90</v>
      </c>
      <c r="U25" s="7">
        <v>43636</v>
      </c>
      <c r="V25" s="8">
        <v>7019756337</v>
      </c>
      <c r="W25" s="9" t="s">
        <v>106</v>
      </c>
      <c r="X25" s="8" t="s">
        <v>34</v>
      </c>
      <c r="Y25" s="9" t="s">
        <v>35</v>
      </c>
      <c r="Z25" s="8" t="s">
        <v>47</v>
      </c>
      <c r="AA25" s="9" t="s">
        <v>48</v>
      </c>
      <c r="AB25" s="10">
        <v>0.4998766</v>
      </c>
    </row>
    <row r="26" spans="1:28" s="4" customFormat="1" ht="13" x14ac:dyDescent="0.3">
      <c r="A26" s="5">
        <v>2204</v>
      </c>
      <c r="B26" s="6" t="s">
        <v>31</v>
      </c>
      <c r="C26" s="7">
        <v>43636</v>
      </c>
      <c r="D26" s="8">
        <v>62</v>
      </c>
      <c r="E26" s="9" t="s">
        <v>43</v>
      </c>
      <c r="F26" s="8" t="s">
        <v>107</v>
      </c>
      <c r="G26" s="9" t="s">
        <v>108</v>
      </c>
      <c r="H26" s="8" t="str">
        <f>"000162"</f>
        <v>000162</v>
      </c>
      <c r="I26" s="7">
        <v>43434</v>
      </c>
      <c r="J26" s="8" t="str">
        <f>"000008"</f>
        <v>000008</v>
      </c>
      <c r="K26" s="7">
        <v>43578</v>
      </c>
      <c r="L26" s="8" t="str">
        <f>"000013"</f>
        <v>000013</v>
      </c>
      <c r="M26" s="7">
        <v>43578</v>
      </c>
      <c r="N26" s="8">
        <v>19</v>
      </c>
      <c r="O26" s="8" t="str">
        <f>"002812"</f>
        <v>002812</v>
      </c>
      <c r="P26" s="7">
        <v>43633</v>
      </c>
      <c r="Q26" s="10">
        <v>49.991079999999997</v>
      </c>
      <c r="R26" s="10">
        <v>6.3171999999999997</v>
      </c>
      <c r="S26" s="10">
        <v>43.673879999999997</v>
      </c>
      <c r="T26" s="8">
        <v>90</v>
      </c>
      <c r="U26" s="7">
        <v>43636</v>
      </c>
      <c r="V26" s="8">
        <v>7019756337</v>
      </c>
      <c r="W26" s="9" t="s">
        <v>36</v>
      </c>
      <c r="X26" s="8" t="s">
        <v>34</v>
      </c>
      <c r="Y26" s="9" t="s">
        <v>35</v>
      </c>
      <c r="Z26" s="8" t="s">
        <v>47</v>
      </c>
      <c r="AA26" s="9" t="s">
        <v>48</v>
      </c>
      <c r="AB26" s="10">
        <v>0.49991079999999999</v>
      </c>
    </row>
    <row r="27" spans="1:28" s="4" customFormat="1" ht="13" x14ac:dyDescent="0.3">
      <c r="A27" s="5">
        <v>2205</v>
      </c>
      <c r="B27" s="6" t="s">
        <v>109</v>
      </c>
      <c r="C27" s="7">
        <v>43647</v>
      </c>
      <c r="D27" s="8">
        <v>62</v>
      </c>
      <c r="E27" s="9" t="s">
        <v>43</v>
      </c>
      <c r="F27" s="8" t="s">
        <v>110</v>
      </c>
      <c r="G27" s="11" t="s">
        <v>111</v>
      </c>
      <c r="H27" s="8" t="str">
        <f>"000130"</f>
        <v>000130</v>
      </c>
      <c r="I27" s="7">
        <v>43004</v>
      </c>
      <c r="J27" s="8" t="str">
        <f>"000025"</f>
        <v>000025</v>
      </c>
      <c r="K27" s="7">
        <v>43085</v>
      </c>
      <c r="L27" s="8" t="str">
        <f>"000226"</f>
        <v>000226</v>
      </c>
      <c r="M27" s="7">
        <v>43096</v>
      </c>
      <c r="N27" s="8">
        <v>17</v>
      </c>
      <c r="O27" s="8" t="str">
        <f>"003095"</f>
        <v>003095</v>
      </c>
      <c r="P27" s="7">
        <v>43640</v>
      </c>
      <c r="Q27" s="12">
        <v>20.699300000000001</v>
      </c>
      <c r="R27" s="12">
        <v>1.056</v>
      </c>
      <c r="S27" s="12">
        <v>19.6433</v>
      </c>
      <c r="T27" s="8">
        <v>96</v>
      </c>
      <c r="U27" s="7">
        <v>43647</v>
      </c>
      <c r="V27" s="8">
        <v>9686538999</v>
      </c>
      <c r="W27" s="11" t="s">
        <v>112</v>
      </c>
      <c r="X27" s="8" t="s">
        <v>37</v>
      </c>
      <c r="Y27" s="11" t="s">
        <v>38</v>
      </c>
      <c r="Z27" s="8" t="s">
        <v>47</v>
      </c>
      <c r="AA27" s="11" t="s">
        <v>48</v>
      </c>
      <c r="AB27" s="12">
        <f t="shared" ref="AB27:AB32" si="1">Q27/100</f>
        <v>0.20699300000000001</v>
      </c>
    </row>
    <row r="28" spans="1:28" s="4" customFormat="1" ht="13" x14ac:dyDescent="0.3">
      <c r="A28" s="5">
        <v>2206</v>
      </c>
      <c r="B28" s="6" t="s">
        <v>109</v>
      </c>
      <c r="C28" s="7">
        <v>43654</v>
      </c>
      <c r="D28" s="8">
        <v>62</v>
      </c>
      <c r="E28" s="9" t="s">
        <v>43</v>
      </c>
      <c r="F28" s="8" t="s">
        <v>61</v>
      </c>
      <c r="G28" s="11" t="s">
        <v>62</v>
      </c>
      <c r="H28" s="8" t="str">
        <f>"000007"</f>
        <v>000007</v>
      </c>
      <c r="I28" s="7">
        <v>42947</v>
      </c>
      <c r="J28" s="8" t="str">
        <f>"000070"</f>
        <v>000070</v>
      </c>
      <c r="K28" s="7">
        <v>43693</v>
      </c>
      <c r="L28" s="8" t="str">
        <f>"000070"</f>
        <v>000070</v>
      </c>
      <c r="M28" s="7">
        <v>43693</v>
      </c>
      <c r="N28" s="8">
        <v>16</v>
      </c>
      <c r="O28" s="8" t="str">
        <f>"004894"</f>
        <v>004894</v>
      </c>
      <c r="P28" s="7">
        <v>43711</v>
      </c>
      <c r="Q28" s="12">
        <v>0.45121</v>
      </c>
      <c r="R28" s="12">
        <v>8.4290000000000004E-2</v>
      </c>
      <c r="S28" s="12">
        <v>0.36692000000000002</v>
      </c>
      <c r="T28" s="8">
        <v>109</v>
      </c>
      <c r="U28" s="7">
        <v>43654</v>
      </c>
      <c r="V28" s="8">
        <v>9845860866</v>
      </c>
      <c r="W28" s="11" t="s">
        <v>42</v>
      </c>
      <c r="X28" s="8" t="s">
        <v>29</v>
      </c>
      <c r="Y28" s="11" t="s">
        <v>30</v>
      </c>
      <c r="Z28" s="8" t="s">
        <v>39</v>
      </c>
      <c r="AA28" s="11" t="s">
        <v>40</v>
      </c>
      <c r="AB28" s="12">
        <f t="shared" si="1"/>
        <v>4.5120999999999998E-3</v>
      </c>
    </row>
    <row r="29" spans="1:28" s="4" customFormat="1" ht="13" x14ac:dyDescent="0.3">
      <c r="A29" s="5">
        <v>2207</v>
      </c>
      <c r="B29" s="6" t="s">
        <v>113</v>
      </c>
      <c r="C29" s="7">
        <v>43719</v>
      </c>
      <c r="D29" s="8">
        <v>62</v>
      </c>
      <c r="E29" s="9" t="s">
        <v>43</v>
      </c>
      <c r="F29" s="8" t="s">
        <v>61</v>
      </c>
      <c r="G29" s="11" t="s">
        <v>62</v>
      </c>
      <c r="H29" s="8" t="str">
        <f>"000007"</f>
        <v>000007</v>
      </c>
      <c r="I29" s="7">
        <v>42947</v>
      </c>
      <c r="J29" s="8" t="str">
        <f>"000070"</f>
        <v>000070</v>
      </c>
      <c r="K29" s="7">
        <v>43693</v>
      </c>
      <c r="L29" s="8" t="str">
        <f>"000070"</f>
        <v>000070</v>
      </c>
      <c r="M29" s="7">
        <v>43693</v>
      </c>
      <c r="N29" s="8">
        <v>16</v>
      </c>
      <c r="O29" s="8" t="str">
        <f>"004894"</f>
        <v>004894</v>
      </c>
      <c r="P29" s="7">
        <v>43711</v>
      </c>
      <c r="Q29" s="12">
        <v>0.15040000000000001</v>
      </c>
      <c r="R29" s="12">
        <v>1.6129999999999999E-2</v>
      </c>
      <c r="S29" s="12">
        <v>0.13427</v>
      </c>
      <c r="T29" s="8">
        <v>179</v>
      </c>
      <c r="U29" s="7">
        <v>43719</v>
      </c>
      <c r="V29" s="8">
        <v>9845860866</v>
      </c>
      <c r="W29" s="11" t="s">
        <v>42</v>
      </c>
      <c r="X29" s="8" t="s">
        <v>29</v>
      </c>
      <c r="Y29" s="11" t="s">
        <v>30</v>
      </c>
      <c r="Z29" s="8" t="s">
        <v>39</v>
      </c>
      <c r="AA29" s="11" t="s">
        <v>40</v>
      </c>
      <c r="AB29" s="12">
        <f t="shared" si="1"/>
        <v>1.5040000000000001E-3</v>
      </c>
    </row>
    <row r="30" spans="1:28" s="4" customFormat="1" ht="13" x14ac:dyDescent="0.3">
      <c r="A30" s="5">
        <v>2208</v>
      </c>
      <c r="B30" s="6" t="s">
        <v>113</v>
      </c>
      <c r="C30" s="7">
        <v>43721</v>
      </c>
      <c r="D30" s="8">
        <v>62</v>
      </c>
      <c r="E30" s="9" t="s">
        <v>43</v>
      </c>
      <c r="F30" s="8" t="s">
        <v>114</v>
      </c>
      <c r="G30" s="11" t="s">
        <v>115</v>
      </c>
      <c r="H30" s="8" t="str">
        <f>"000043"</f>
        <v>000043</v>
      </c>
      <c r="I30" s="7">
        <v>43696</v>
      </c>
      <c r="J30" s="8" t="str">
        <f>"000052"</f>
        <v>000052</v>
      </c>
      <c r="K30" s="7">
        <v>43755</v>
      </c>
      <c r="L30" s="8" t="str">
        <f>"000100"</f>
        <v>000100</v>
      </c>
      <c r="M30" s="7">
        <v>43756</v>
      </c>
      <c r="N30" s="8">
        <v>16</v>
      </c>
      <c r="O30" s="8" t="str">
        <f>"006045"</f>
        <v>006045</v>
      </c>
      <c r="P30" s="7">
        <v>43769</v>
      </c>
      <c r="Q30" s="12">
        <v>617.17039999999997</v>
      </c>
      <c r="R30" s="12">
        <v>12.9634</v>
      </c>
      <c r="S30" s="12">
        <v>604.20699999999999</v>
      </c>
      <c r="T30" s="8">
        <v>185</v>
      </c>
      <c r="U30" s="7">
        <v>43721</v>
      </c>
      <c r="V30" s="8">
        <v>9886066040</v>
      </c>
      <c r="W30" s="11" t="s">
        <v>116</v>
      </c>
      <c r="X30" s="8" t="s">
        <v>117</v>
      </c>
      <c r="Y30" s="11" t="s">
        <v>118</v>
      </c>
      <c r="Z30" s="8" t="s">
        <v>47</v>
      </c>
      <c r="AA30" s="11" t="s">
        <v>48</v>
      </c>
      <c r="AB30" s="12">
        <f t="shared" si="1"/>
        <v>6.1717040000000001</v>
      </c>
    </row>
    <row r="31" spans="1:28" s="4" customFormat="1" ht="13" x14ac:dyDescent="0.3">
      <c r="A31" s="5">
        <v>2209</v>
      </c>
      <c r="B31" s="6" t="s">
        <v>113</v>
      </c>
      <c r="C31" s="7">
        <v>43732</v>
      </c>
      <c r="D31" s="8">
        <v>62</v>
      </c>
      <c r="E31" s="9" t="s">
        <v>43</v>
      </c>
      <c r="F31" s="8" t="s">
        <v>119</v>
      </c>
      <c r="G31" s="11" t="s">
        <v>120</v>
      </c>
      <c r="H31" s="8" t="str">
        <f>"000238"</f>
        <v>000238</v>
      </c>
      <c r="I31" s="7">
        <v>43171</v>
      </c>
      <c r="J31" s="8" t="str">
        <f>"000001"</f>
        <v>000001</v>
      </c>
      <c r="K31" s="7">
        <v>43203</v>
      </c>
      <c r="L31" s="8" t="str">
        <f>"000010"</f>
        <v>000010</v>
      </c>
      <c r="M31" s="7">
        <v>43210</v>
      </c>
      <c r="N31" s="8">
        <v>17</v>
      </c>
      <c r="O31" s="8" t="str">
        <f>"005315"</f>
        <v>005315</v>
      </c>
      <c r="P31" s="7">
        <v>43729</v>
      </c>
      <c r="Q31" s="12">
        <v>15.445499999999999</v>
      </c>
      <c r="R31" s="12">
        <v>0.87180000000000002</v>
      </c>
      <c r="S31" s="12">
        <v>14.573700000000001</v>
      </c>
      <c r="T31" s="8">
        <v>199</v>
      </c>
      <c r="U31" s="7">
        <v>43732</v>
      </c>
      <c r="V31" s="8">
        <v>9686538999</v>
      </c>
      <c r="W31" s="11" t="s">
        <v>121</v>
      </c>
      <c r="X31" s="8" t="s">
        <v>37</v>
      </c>
      <c r="Y31" s="11" t="s">
        <v>38</v>
      </c>
      <c r="Z31" s="8" t="s">
        <v>47</v>
      </c>
      <c r="AA31" s="11" t="s">
        <v>48</v>
      </c>
      <c r="AB31" s="12">
        <f t="shared" si="1"/>
        <v>0.15445499999999998</v>
      </c>
    </row>
    <row r="32" spans="1:28" s="4" customFormat="1" ht="13" x14ac:dyDescent="0.3">
      <c r="A32" s="5">
        <v>2210</v>
      </c>
      <c r="B32" s="6" t="s">
        <v>113</v>
      </c>
      <c r="C32" s="7">
        <v>43732</v>
      </c>
      <c r="D32" s="8">
        <v>62</v>
      </c>
      <c r="E32" s="9" t="s">
        <v>43</v>
      </c>
      <c r="F32" s="8" t="s">
        <v>122</v>
      </c>
      <c r="G32" s="11" t="s">
        <v>123</v>
      </c>
      <c r="H32" s="8" t="str">
        <f>"000237"</f>
        <v>000237</v>
      </c>
      <c r="I32" s="7">
        <v>43171</v>
      </c>
      <c r="J32" s="8" t="str">
        <f>"000077"</f>
        <v>000077</v>
      </c>
      <c r="K32" s="7">
        <v>43190</v>
      </c>
      <c r="L32" s="8" t="str">
        <f>"000011"</f>
        <v>000011</v>
      </c>
      <c r="M32" s="7">
        <v>43210</v>
      </c>
      <c r="N32" s="8">
        <v>17</v>
      </c>
      <c r="O32" s="8" t="str">
        <f>"005316"</f>
        <v>005316</v>
      </c>
      <c r="P32" s="7">
        <v>43729</v>
      </c>
      <c r="Q32" s="12">
        <v>15.548920000000001</v>
      </c>
      <c r="R32" s="12">
        <v>0.86989000000000005</v>
      </c>
      <c r="S32" s="12">
        <v>14.679029999999999</v>
      </c>
      <c r="T32" s="8">
        <v>199</v>
      </c>
      <c r="U32" s="7">
        <v>43732</v>
      </c>
      <c r="V32" s="8">
        <v>9686538999</v>
      </c>
      <c r="W32" s="11" t="s">
        <v>46</v>
      </c>
      <c r="X32" s="8" t="s">
        <v>37</v>
      </c>
      <c r="Y32" s="11" t="s">
        <v>38</v>
      </c>
      <c r="Z32" s="8" t="s">
        <v>47</v>
      </c>
      <c r="AA32" s="11" t="s">
        <v>48</v>
      </c>
      <c r="AB32" s="12">
        <f t="shared" si="1"/>
        <v>0.15548919999999999</v>
      </c>
    </row>
    <row r="33" spans="1:28" s="4" customFormat="1" ht="13" x14ac:dyDescent="0.3">
      <c r="A33" s="5">
        <v>2211</v>
      </c>
      <c r="B33" s="6" t="s">
        <v>124</v>
      </c>
      <c r="C33" s="7">
        <v>43769</v>
      </c>
      <c r="D33" s="5">
        <v>62</v>
      </c>
      <c r="E33" s="9" t="s">
        <v>43</v>
      </c>
      <c r="F33" s="8" t="s">
        <v>114</v>
      </c>
      <c r="G33" s="9" t="s">
        <v>115</v>
      </c>
      <c r="H33" s="8" t="str">
        <f>"000043"</f>
        <v>000043</v>
      </c>
      <c r="I33" s="7">
        <v>43696</v>
      </c>
      <c r="J33" s="8" t="str">
        <f>"000052"</f>
        <v>000052</v>
      </c>
      <c r="K33" s="7">
        <v>43755</v>
      </c>
      <c r="L33" s="8" t="str">
        <f>"000100"</f>
        <v>000100</v>
      </c>
      <c r="M33" s="7">
        <v>43756</v>
      </c>
      <c r="N33" s="8">
        <v>16</v>
      </c>
      <c r="O33" s="8" t="str">
        <f>"006045"</f>
        <v>006045</v>
      </c>
      <c r="P33" s="7">
        <v>43769</v>
      </c>
      <c r="Q33" s="10">
        <v>288.911</v>
      </c>
      <c r="R33" s="10">
        <v>22.729120000000002</v>
      </c>
      <c r="S33" s="10">
        <v>266.18187999999998</v>
      </c>
      <c r="T33" s="8">
        <v>13</v>
      </c>
      <c r="U33" s="7">
        <v>43769</v>
      </c>
      <c r="V33" s="8">
        <v>9886066040</v>
      </c>
      <c r="W33" s="9" t="s">
        <v>116</v>
      </c>
      <c r="X33" s="8" t="s">
        <v>117</v>
      </c>
      <c r="Y33" s="9" t="s">
        <v>118</v>
      </c>
      <c r="Z33" s="8" t="s">
        <v>47</v>
      </c>
      <c r="AA33" s="9" t="s">
        <v>48</v>
      </c>
      <c r="AB33" s="10">
        <v>2.8891100000000001</v>
      </c>
    </row>
    <row r="34" spans="1:28" s="4" customFormat="1" ht="13" x14ac:dyDescent="0.3">
      <c r="A34" s="5">
        <v>2212</v>
      </c>
      <c r="B34" s="6" t="s">
        <v>125</v>
      </c>
      <c r="C34" s="7">
        <v>43818</v>
      </c>
      <c r="D34" s="5">
        <v>62</v>
      </c>
      <c r="E34" s="9" t="s">
        <v>43</v>
      </c>
      <c r="F34" s="8" t="s">
        <v>126</v>
      </c>
      <c r="G34" s="9" t="s">
        <v>127</v>
      </c>
      <c r="H34" s="8" t="str">
        <f>"000067"</f>
        <v>000067</v>
      </c>
      <c r="I34" s="7">
        <v>43735</v>
      </c>
      <c r="J34" s="8" t="str">
        <f>"000064"</f>
        <v>000064</v>
      </c>
      <c r="K34" s="7">
        <v>43794</v>
      </c>
      <c r="L34" s="8" t="str">
        <f>"000114"</f>
        <v>000114</v>
      </c>
      <c r="M34" s="7">
        <v>43794</v>
      </c>
      <c r="N34" s="8">
        <v>19</v>
      </c>
      <c r="O34" s="8" t="str">
        <f>"006858"</f>
        <v>006858</v>
      </c>
      <c r="P34" s="7">
        <v>43816</v>
      </c>
      <c r="Q34" s="10">
        <v>72.436580000000006</v>
      </c>
      <c r="R34" s="10">
        <v>7.7900200000000002</v>
      </c>
      <c r="S34" s="10">
        <v>64.646559999999994</v>
      </c>
      <c r="T34" s="8">
        <v>13</v>
      </c>
      <c r="U34" s="7">
        <v>43818</v>
      </c>
      <c r="V34" s="8">
        <v>9008773694</v>
      </c>
      <c r="W34" s="9" t="s">
        <v>36</v>
      </c>
      <c r="X34" s="8" t="s">
        <v>128</v>
      </c>
      <c r="Y34" s="9" t="s">
        <v>129</v>
      </c>
      <c r="Z34" s="8" t="s">
        <v>47</v>
      </c>
      <c r="AA34" s="9" t="s">
        <v>48</v>
      </c>
      <c r="AB34" s="10">
        <v>0.72436580000000006</v>
      </c>
    </row>
    <row r="35" spans="1:28" s="4" customFormat="1" ht="13" x14ac:dyDescent="0.3">
      <c r="A35" s="5">
        <v>2213</v>
      </c>
      <c r="B35" s="6" t="s">
        <v>125</v>
      </c>
      <c r="C35" s="7">
        <v>43818</v>
      </c>
      <c r="D35" s="5">
        <v>62</v>
      </c>
      <c r="E35" s="9" t="s">
        <v>43</v>
      </c>
      <c r="F35" s="8" t="s">
        <v>130</v>
      </c>
      <c r="G35" s="9" t="s">
        <v>131</v>
      </c>
      <c r="H35" s="8" t="str">
        <f>"000065"</f>
        <v>000065</v>
      </c>
      <c r="I35" s="7">
        <v>43735</v>
      </c>
      <c r="J35" s="8" t="str">
        <f>"000063"</f>
        <v>000063</v>
      </c>
      <c r="K35" s="7">
        <v>43794</v>
      </c>
      <c r="L35" s="8" t="str">
        <f>"000113"</f>
        <v>000113</v>
      </c>
      <c r="M35" s="7">
        <v>43794</v>
      </c>
      <c r="N35" s="8">
        <v>19</v>
      </c>
      <c r="O35" s="8" t="str">
        <f>"006859"</f>
        <v>006859</v>
      </c>
      <c r="P35" s="7">
        <v>43816</v>
      </c>
      <c r="Q35" s="10">
        <v>73.914599999999993</v>
      </c>
      <c r="R35" s="10">
        <v>8.4954199999999993</v>
      </c>
      <c r="S35" s="10">
        <v>65.419179999999997</v>
      </c>
      <c r="T35" s="8">
        <v>13</v>
      </c>
      <c r="U35" s="7">
        <v>43818</v>
      </c>
      <c r="V35" s="8">
        <v>9008773694</v>
      </c>
      <c r="W35" s="9" t="s">
        <v>36</v>
      </c>
      <c r="X35" s="8" t="s">
        <v>128</v>
      </c>
      <c r="Y35" s="9" t="s">
        <v>129</v>
      </c>
      <c r="Z35" s="8" t="s">
        <v>47</v>
      </c>
      <c r="AA35" s="9" t="s">
        <v>48</v>
      </c>
      <c r="AB35" s="10">
        <v>0.73914599999999997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2020-01-28T11:52:59Z</dcterms:modified>
</cp:coreProperties>
</file>