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1" l="1"/>
  <c r="L62" i="1"/>
  <c r="J62" i="1"/>
  <c r="H62" i="1"/>
  <c r="O61" i="1"/>
  <c r="L61" i="1"/>
  <c r="J61" i="1"/>
  <c r="H61" i="1"/>
  <c r="O60" i="1"/>
  <c r="L60" i="1"/>
  <c r="J60" i="1"/>
  <c r="H60" i="1"/>
  <c r="O59" i="1"/>
  <c r="L59" i="1"/>
  <c r="J59" i="1"/>
  <c r="H59" i="1"/>
  <c r="O58" i="1"/>
  <c r="L58" i="1"/>
  <c r="J58" i="1"/>
  <c r="H58" i="1"/>
  <c r="O57" i="1"/>
  <c r="L57" i="1"/>
  <c r="J57" i="1"/>
  <c r="H57" i="1"/>
  <c r="O56" i="1"/>
  <c r="L56" i="1"/>
  <c r="J56" i="1"/>
  <c r="H56" i="1"/>
  <c r="O55" i="1"/>
  <c r="L55" i="1"/>
  <c r="J55" i="1"/>
  <c r="H55" i="1"/>
  <c r="O54" i="1"/>
  <c r="L54" i="1"/>
  <c r="J54" i="1"/>
  <c r="H54" i="1"/>
  <c r="O53" i="1"/>
  <c r="L53" i="1"/>
  <c r="J53" i="1"/>
  <c r="H53" i="1"/>
  <c r="O52" i="1"/>
  <c r="L52" i="1"/>
  <c r="J52" i="1"/>
  <c r="H52" i="1"/>
  <c r="O51" i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<sst xmlns="http://schemas.openxmlformats.org/spreadsheetml/2006/main" count="577" uniqueCount="208">
  <si>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</si>
  <si>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</si>
  <si>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</si>
  <si>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</si>
  <si>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</si>
  <si>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</si>
  <si>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</si>
  <si>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</si>
  <si>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</si>
  <si>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</si>
  <si>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</si>
  <si>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</si>
  <si>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</si>
  <si>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</si>
  <si>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</si>
  <si>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</si>
  <si>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</si>
  <si>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</si>
  <si>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</si>
  <si>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</si>
  <si>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</si>
  <si>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</si>
  <si>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</si>
  <si>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</si>
  <si>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</si>
  <si>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</si>
  <si>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</si>
  <si>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</si>
  <si>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</si>
  <si>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</si>
  <si>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</si>
  <si>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</si>
  <si>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</si>
  <si>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</si>
  <si>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</si>
  <si>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P3106</t>
  </si>
  <si>
    <t>Nagarothana Works</t>
  </si>
  <si>
    <t>P3111</t>
  </si>
  <si>
    <t>State Finance Commission Untied Grant Works</t>
  </si>
  <si>
    <t>KRIDL</t>
  </si>
  <si>
    <t>P3110</t>
  </si>
  <si>
    <t>14th Finance Commission Grant Works</t>
  </si>
  <si>
    <t>P0190</t>
  </si>
  <si>
    <t>Works sanctioned by Hon Mayor</t>
  </si>
  <si>
    <t>kridl</t>
  </si>
  <si>
    <t>ddo209</t>
  </si>
  <si>
    <t xml:space="preserve"> Assistant Executive Engineer Electrical West Zone</t>
  </si>
  <si>
    <t>P2178</t>
  </si>
  <si>
    <t>Works sanctioned by Dy. Mayor</t>
  </si>
  <si>
    <t xml:space="preserve">M/s KRIDL </t>
  </si>
  <si>
    <t>P3075</t>
  </si>
  <si>
    <t>Special comprehensive development works in Bangalore city (Bangalore city in charge Minister Discretionary Grants)</t>
  </si>
  <si>
    <t>Ganga Enterprises</t>
  </si>
  <si>
    <t>The Technical Manager KRIDL</t>
  </si>
  <si>
    <t>P3291</t>
  </si>
  <si>
    <t>14th Fin  -Maintenance of Cremotorium, Burial Grounds</t>
  </si>
  <si>
    <t>P3294</t>
  </si>
  <si>
    <t>14th Finance Commission Works - General Public ToiletandSeptage Maintenance</t>
  </si>
  <si>
    <t>Nagapura</t>
  </si>
  <si>
    <t>067-18-000095</t>
  </si>
  <si>
    <t>Improvements to Public toilet in ward no 67</t>
  </si>
  <si>
    <t>K.J.Sunilkumar</t>
  </si>
  <si>
    <t>ddo200</t>
  </si>
  <si>
    <t xml:space="preserve"> Assistant Executive Engineer Nagapura West Zone</t>
  </si>
  <si>
    <t>067-18-000098</t>
  </si>
  <si>
    <t>Maintenance of Grounds and Office maintenance in ward no 67</t>
  </si>
  <si>
    <t>067-16-000016</t>
  </si>
  <si>
    <t>Consultancy Assignment of Project Management Consultancy Service for Preparation of Detailed Project Report (DPR) and Project Supervision for the work mentioned below in ward No.67.</t>
  </si>
  <si>
    <t>Sri.Rayeegowda</t>
  </si>
  <si>
    <t>067-17-000033</t>
  </si>
  <si>
    <t>Providing lighting system to Budda Shanthi Vana Park at west of chord road in ward no 67</t>
  </si>
  <si>
    <t>067-16-000002</t>
  </si>
  <si>
    <t>Annual Operation And maintenance Of Street Lights at Nagpura in Ward No- 67</t>
  </si>
  <si>
    <t>067-17-000010</t>
  </si>
  <si>
    <t>Providing SS Grill work to G.D.Naidu hall road right side in ward no.67</t>
  </si>
  <si>
    <t>067-17-000009</t>
  </si>
  <si>
    <t>Providing SS Grill work to G.D.Naidu hall road left side in ward no.67</t>
  </si>
  <si>
    <t>067-17-000020</t>
  </si>
  <si>
    <t>Construction to Shelter to open GYM Equipments and  other development works  at Ushe park in ward NO.67</t>
  </si>
  <si>
    <t>067-19-000013</t>
  </si>
  <si>
    <t>Improvements to park at Sandal soap factory circle (Rani Abbakka circle) in ward no 67</t>
  </si>
  <si>
    <t>067-19-000017</t>
  </si>
  <si>
    <t>Providing Sanitary works at 12th cross Kethamaranahalli   in ward no 67</t>
  </si>
  <si>
    <t>067-19-000016</t>
  </si>
  <si>
    <t>Providing Gym equipments to GYM building at Bhovipalya  in ward no 67</t>
  </si>
  <si>
    <t>067-19-000011</t>
  </si>
  <si>
    <t>Providing S S Railing and walking track at Vivekananda park in ward no 67</t>
  </si>
  <si>
    <t>067-19-000010</t>
  </si>
  <si>
    <t>Providing Grill works and gazeeba at Vivekananda park in ward no 67</t>
  </si>
  <si>
    <t>067-19-000012</t>
  </si>
  <si>
    <t>Constructiion of Basaveshwara statue at sandal soap factory circle (Raniabbakka Circle ) in ward no 67</t>
  </si>
  <si>
    <t>R.Rajkumar</t>
  </si>
  <si>
    <t>067-17-000025</t>
  </si>
  <si>
    <t>Construction of BBMP Office Complex at Nagapura in ward no 67</t>
  </si>
  <si>
    <t>Eshwar Raju.N</t>
  </si>
  <si>
    <t>067-17-000110</t>
  </si>
  <si>
    <t>Providing Modren Dust Bin in Bangalore City in ward no 67</t>
  </si>
  <si>
    <t>067-17-000102</t>
  </si>
  <si>
    <t>Improvements to service road footpath near Bheema jewellars in ward No.67</t>
  </si>
  <si>
    <t>067-16-000039</t>
  </si>
  <si>
    <t>Providing electrification to indoor stadium at Dr.Rajkumar play ground Nagapura in ward No-67</t>
  </si>
  <si>
    <t>067-17-000059</t>
  </si>
  <si>
    <t>Improvements to drain between nagapura main raod and 11th A Cross (Venkataram housenear) in ward No.67</t>
  </si>
  <si>
    <t>J.G.Ravindra (Lakshmivenkateshwara enterprises)</t>
  </si>
  <si>
    <t>067-16-000025</t>
  </si>
  <si>
    <t>Improvements to drain and providing Asphalting 9th A,B, C and Surrounding roads (near Metro Station) in Ward No -67 Nagapura</t>
  </si>
  <si>
    <t>067-16-000023</t>
  </si>
  <si>
    <t>Providing GYM equipmentsat Pipeline road park in ward no 67 Nagapura</t>
  </si>
  <si>
    <t>067-16-000022</t>
  </si>
  <si>
    <t>Improvements to drain and providing Asphalting 3rd and 4th main in ward no 67 Nagapura</t>
  </si>
  <si>
    <t>067-16-000020</t>
  </si>
  <si>
    <t>Improvements to drain and providing Asphalting 13th and 14th C cross and Surrounding roads (near Skating Ground) in ward no 67 Nagapura</t>
  </si>
  <si>
    <t>067-16-000024</t>
  </si>
  <si>
    <t>Improvements to drain and providing Asphalting to Mahadevi Park Surrounding roads in Ward No -67 Nagapura</t>
  </si>
  <si>
    <t>067-16-000021</t>
  </si>
  <si>
    <t>Improvements to drain and providing Asphalting 10th A B C and D Cross roads in ward no 67 Nagapura</t>
  </si>
  <si>
    <t>July</t>
  </si>
  <si>
    <t>067-17-000046</t>
  </si>
  <si>
    <t>Emergency Works in Ward no -67</t>
  </si>
  <si>
    <t>Vishwanath</t>
  </si>
  <si>
    <t>067-18-000036</t>
  </si>
  <si>
    <t>Providing CC road and drain at 9th cross(southern side) bovipalya in ward no-67</t>
  </si>
  <si>
    <t>P1878</t>
  </si>
  <si>
    <t>18per - Works (Bhagyajyothi, Sooru / Neeru Yojane and General) (54 Lakhs / New Wards)</t>
  </si>
  <si>
    <t>067-18-000037</t>
  </si>
  <si>
    <t>Providing CC road and drain at 10th cross bovipalya in ward no-67</t>
  </si>
  <si>
    <t>067-17-000057</t>
  </si>
  <si>
    <t>Improvements to Children park and Providing Children Equipments behind ward office in 1st N block in ward NO.67</t>
  </si>
  <si>
    <t>C.R.muralidhar</t>
  </si>
  <si>
    <t>067-17-000114</t>
  </si>
  <si>
    <t>Construction of Sheltar and Power Conection For Shredder in Nagapura H.T Line Park</t>
  </si>
  <si>
    <t>Naveena D G</t>
  </si>
  <si>
    <t>P3158</t>
  </si>
  <si>
    <t>SIP Infrastructure Project works</t>
  </si>
  <si>
    <t>ddo326</t>
  </si>
  <si>
    <t xml:space="preserve"> Executive Engineer SWM 1 Central Zone</t>
  </si>
  <si>
    <t>067-15-000036</t>
  </si>
  <si>
    <t>Improvements by Providing asphalting to bad road reaches from 15th to 19th Cross Rajajinagara 1st block in ward no.67</t>
  </si>
  <si>
    <t>067-19-000015</t>
  </si>
  <si>
    <t>Providing CC drain and CC road and other improvement work at Bhagya Jyothi colony in ward no 67</t>
  </si>
  <si>
    <t>067-17-000099</t>
  </si>
  <si>
    <t>Providing GYM equpments to Siddaruda park in ward No.67</t>
  </si>
  <si>
    <t>August</t>
  </si>
  <si>
    <t>067-17-000026</t>
  </si>
  <si>
    <t>Improvements and other works to Dr Rajkumar Indoor Stadium in ward no 67</t>
  </si>
  <si>
    <t>Executive Engineer, KRIDL</t>
  </si>
  <si>
    <t>P3169</t>
  </si>
  <si>
    <t>Development Dr.Rajkumar Indoor Stadium in ward No.67</t>
  </si>
  <si>
    <t>067-17-000049</t>
  </si>
  <si>
    <t>Special repairs and Improvements work to BBMP Building in Ward No -67</t>
  </si>
  <si>
    <t>B.V.Harish</t>
  </si>
  <si>
    <t>067-11-000048</t>
  </si>
  <si>
    <t>Setting up and operation of Nisurgruna Bio-gas plant for Bio degredable waste of 5MT capacity based on Bhabha Atomic Research centre technology in ward no 67, Nagpura,</t>
  </si>
  <si>
    <t>M/s Ashoka Biogreen Pvt Ltd</t>
  </si>
  <si>
    <t>P2200</t>
  </si>
  <si>
    <t>Works to be taken up under 13th Finance Commission</t>
  </si>
  <si>
    <t>067-19-000014</t>
  </si>
  <si>
    <t>Improvements to drain and footpath and construction to culvert at 12th main 1st block Rajajinagara in ward no 67</t>
  </si>
  <si>
    <t>R.Anandkumar</t>
  </si>
  <si>
    <t>067-19-000057</t>
  </si>
  <si>
    <t>Improvements of secondary drain in division office premises in ward No.67</t>
  </si>
  <si>
    <t>067-19-000061</t>
  </si>
  <si>
    <t>Improvements to drain and asphalting to 15th cross, 16th cross, 17th cross, 18th cross and 19th Cross of K block in ward NO.67</t>
  </si>
  <si>
    <t>September</t>
  </si>
  <si>
    <t>067-18-000115</t>
  </si>
  <si>
    <t>Drilling of borewell and providing pipelines in ward NO 67</t>
  </si>
  <si>
    <t>067-15-000018</t>
  </si>
  <si>
    <t>Improvements and Asphalting to Damaged Roads in ward no 67 Nagapura (Main Roads)</t>
  </si>
  <si>
    <t>067-15-000035</t>
  </si>
  <si>
    <t xml:space="preserve">mprovements by Providing asphalting to bad road reaches from 9th A Cross to 10th D Cross WOC 2nd stage in ward no.67 </t>
  </si>
  <si>
    <t>067-18-000117</t>
  </si>
  <si>
    <t>Repairs to footpath and other Improvements near G D Naidu hall in ward No 67</t>
  </si>
  <si>
    <t>067-16-000018</t>
  </si>
  <si>
    <t>Development of SWM Seggregation Units in ward NO.67</t>
  </si>
  <si>
    <t xml:space="preserve"> M/s. MECADEZ CORE TECHNOLOGIES PRIVATE LIMITED</t>
  </si>
  <si>
    <t>October</t>
  </si>
  <si>
    <t>M/s. Accord Consultants.,</t>
  </si>
  <si>
    <t>067-19-000060</t>
  </si>
  <si>
    <t>Construction of compound wall to new revenue office building near Division office in ward No.67</t>
  </si>
  <si>
    <t>M/s. Mecadez Core Technologies Pvt. Ltd.,</t>
  </si>
  <si>
    <t>067-16-000042</t>
  </si>
  <si>
    <t>Providing LCD projector to indoor stadium at Dr.Rajkumar play ground Nagapura in ward No-67</t>
  </si>
  <si>
    <t>067-16-000040</t>
  </si>
  <si>
    <t>Providing sound system to indoor stadium at Dr.Rajkumar play ground Nagapura in ward No-67</t>
  </si>
  <si>
    <t>The Technical Manager</t>
  </si>
  <si>
    <t>067-16-000041</t>
  </si>
  <si>
    <t>Providing stage lighting to indoor stadium at Dr.Rajkumar play ground Nagapura in ward No-67</t>
  </si>
  <si>
    <t>067-18-000015</t>
  </si>
  <si>
    <t>Providing Additional Gym Equipments to Siddruda Park in Ward NO 67.</t>
  </si>
  <si>
    <t>P3359</t>
  </si>
  <si>
    <t>Developmental works in Mahlakshmi Layout Assembly Constituency</t>
  </si>
  <si>
    <t>067-17-000113</t>
  </si>
  <si>
    <t>Purchase of Shredder in Nagapura H.T Line Park</t>
  </si>
  <si>
    <t>067-17-000072</t>
  </si>
  <si>
    <t xml:space="preserve">Consultancy services for preparation of DPR for the work of Upgradation of Kamalammanagundi playground in ward No.67 </t>
  </si>
  <si>
    <t>M Babu</t>
  </si>
  <si>
    <t>November</t>
  </si>
  <si>
    <t>067-19-000062</t>
  </si>
  <si>
    <t>Providing shelter and allied works at Vivekananda park in ward NO.67</t>
  </si>
  <si>
    <t>067-19-000058</t>
  </si>
  <si>
    <t>Construciton of Watch men shed SS railing and shelter at pipeline park 1st R block in ward NO.67</t>
  </si>
  <si>
    <t>067-19-000059</t>
  </si>
  <si>
    <t>Providing landscape and Gazeeba at pipeline park 1st R block in ward NO.67</t>
  </si>
  <si>
    <t>067-19-000063</t>
  </si>
  <si>
    <t>Construction of Toilet block and compound wall at Back side and other Improvemetns to works to government college building at G.D.Naidu hall premises in ward NO.67</t>
  </si>
  <si>
    <t>December</t>
  </si>
  <si>
    <t>067-17-000074</t>
  </si>
  <si>
    <t>Maintenance of MLA Bhavana and division office building in ward no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</si>
</sst>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abSelected="1" topLeftCell="A61" workbookViewId="0">
      <selection activeCell="A2" sqref="A2:XFD6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2286</v>
      </c>
      <c r="B2" s="6" t="s">
        <v>28</v>
      </c>
      <c r="C2" s="7">
        <v>43563</v>
      </c>
      <c r="D2" s="8">
        <v>67</v>
      </c>
      <c r="E2" s="9" t="s">
        <v>58</v>
      </c>
      <c r="F2" s="8" t="s">
        <v>59</v>
      </c>
      <c r="G2" s="9" t="s">
        <v>60</v>
      </c>
      <c r="H2" s="8" t="str">
        <f>"000169"</f>
        <v>000169</v>
      </c>
      <c r="I2" s="7">
        <v>43420</v>
      </c>
      <c r="J2" s="8" t="str">
        <f>"000183"</f>
        <v>000183</v>
      </c>
      <c r="K2" s="7">
        <v>43525</v>
      </c>
      <c r="L2" s="8" t="str">
        <f>"000494"</f>
        <v>000494</v>
      </c>
      <c r="M2" s="7">
        <v>43526</v>
      </c>
      <c r="N2" s="8">
        <v>18</v>
      </c>
      <c r="O2" s="8" t="str">
        <f>"000060"</f>
        <v>000060</v>
      </c>
      <c r="P2" s="7">
        <v>43560</v>
      </c>
      <c r="Q2" s="10">
        <v>4.3830900000000002</v>
      </c>
      <c r="R2" s="10">
        <v>0.20418</v>
      </c>
      <c r="S2" s="10">
        <v>4.1789100000000001</v>
      </c>
      <c r="T2" s="8">
        <v>4</v>
      </c>
      <c r="U2" s="7">
        <v>43563</v>
      </c>
      <c r="V2" s="8">
        <v>0</v>
      </c>
      <c r="W2" s="9" t="s">
        <v>61</v>
      </c>
      <c r="X2" s="8" t="s">
        <v>56</v>
      </c>
      <c r="Y2" s="9" t="s">
        <v>57</v>
      </c>
      <c r="Z2" s="8" t="s">
        <v>62</v>
      </c>
      <c r="AA2" s="9" t="s">
        <v>63</v>
      </c>
      <c r="AB2" s="10">
        <f t="shared" ref="AB2:AB18" si="0">Q2/100</f>
        <v>4.3830899999999999E-2</v>
      </c>
    </row>
    <row r="3" spans="1:28" s="4" customFormat="1" ht="13" x14ac:dyDescent="0.3">
      <c r="A3" s="5">
        <v>2287</v>
      </c>
      <c r="B3" s="6" t="s">
        <v>28</v>
      </c>
      <c r="C3" s="7">
        <v>43563</v>
      </c>
      <c r="D3" s="8">
        <v>67</v>
      </c>
      <c r="E3" s="9" t="s">
        <v>58</v>
      </c>
      <c r="F3" s="8" t="s">
        <v>64</v>
      </c>
      <c r="G3" s="9" t="s">
        <v>65</v>
      </c>
      <c r="H3" s="8" t="str">
        <f>"000170"</f>
        <v>000170</v>
      </c>
      <c r="I3" s="7">
        <v>43420</v>
      </c>
      <c r="J3" s="8" t="str">
        <f>"000184"</f>
        <v>000184</v>
      </c>
      <c r="K3" s="7">
        <v>43525</v>
      </c>
      <c r="L3" s="8" t="str">
        <f>"000495"</f>
        <v>000495</v>
      </c>
      <c r="M3" s="7">
        <v>43526</v>
      </c>
      <c r="N3" s="8">
        <v>18</v>
      </c>
      <c r="O3" s="8" t="str">
        <f>"000061"</f>
        <v>000061</v>
      </c>
      <c r="P3" s="7">
        <v>43560</v>
      </c>
      <c r="Q3" s="10">
        <v>4.3587600000000002</v>
      </c>
      <c r="R3" s="10">
        <v>0.17551</v>
      </c>
      <c r="S3" s="10">
        <v>4.1832500000000001</v>
      </c>
      <c r="T3" s="8">
        <v>4</v>
      </c>
      <c r="U3" s="7">
        <v>43563</v>
      </c>
      <c r="V3" s="8">
        <v>0</v>
      </c>
      <c r="W3" s="9" t="s">
        <v>61</v>
      </c>
      <c r="X3" s="8" t="s">
        <v>54</v>
      </c>
      <c r="Y3" s="9" t="s">
        <v>55</v>
      </c>
      <c r="Z3" s="8" t="s">
        <v>62</v>
      </c>
      <c r="AA3" s="9" t="s">
        <v>63</v>
      </c>
      <c r="AB3" s="10">
        <f t="shared" si="0"/>
        <v>4.3587600000000004E-2</v>
      </c>
    </row>
    <row r="4" spans="1:28" s="4" customFormat="1" ht="13" x14ac:dyDescent="0.3">
      <c r="A4" s="5">
        <v>2288</v>
      </c>
      <c r="B4" s="6" t="s">
        <v>28</v>
      </c>
      <c r="C4" s="7">
        <v>43565</v>
      </c>
      <c r="D4" s="8">
        <v>67</v>
      </c>
      <c r="E4" s="9" t="s">
        <v>58</v>
      </c>
      <c r="F4" s="8" t="s">
        <v>66</v>
      </c>
      <c r="G4" s="9" t="s">
        <v>67</v>
      </c>
      <c r="H4" s="8" t="str">
        <f>"000012"</f>
        <v>000012</v>
      </c>
      <c r="I4" s="7">
        <v>43095</v>
      </c>
      <c r="J4" s="8" t="str">
        <f>"000069"</f>
        <v>000069</v>
      </c>
      <c r="K4" s="7">
        <v>43099</v>
      </c>
      <c r="L4" s="8" t="str">
        <f>"000184"</f>
        <v>000184</v>
      </c>
      <c r="M4" s="7">
        <v>43103</v>
      </c>
      <c r="N4" s="8">
        <v>16</v>
      </c>
      <c r="O4" s="8" t="str">
        <f>"009373"</f>
        <v>009373</v>
      </c>
      <c r="P4" s="7">
        <v>43131</v>
      </c>
      <c r="Q4" s="10">
        <v>44.06559</v>
      </c>
      <c r="R4" s="10">
        <v>1.9322699999999999</v>
      </c>
      <c r="S4" s="10">
        <v>42.133319999999998</v>
      </c>
      <c r="T4" s="8">
        <v>9</v>
      </c>
      <c r="U4" s="7">
        <v>43565</v>
      </c>
      <c r="V4" s="8">
        <v>0</v>
      </c>
      <c r="W4" s="9" t="s">
        <v>68</v>
      </c>
      <c r="X4" s="8" t="s">
        <v>35</v>
      </c>
      <c r="Y4" s="9" t="s">
        <v>36</v>
      </c>
      <c r="Z4" s="8" t="s">
        <v>62</v>
      </c>
      <c r="AA4" s="9" t="s">
        <v>63</v>
      </c>
      <c r="AB4" s="10">
        <f t="shared" si="0"/>
        <v>0.44065589999999999</v>
      </c>
    </row>
    <row r="5" spans="1:28" s="4" customFormat="1" ht="13" x14ac:dyDescent="0.3">
      <c r="A5" s="5">
        <v>2289</v>
      </c>
      <c r="B5" s="6" t="s">
        <v>28</v>
      </c>
      <c r="C5" s="7">
        <v>43565</v>
      </c>
      <c r="D5" s="8">
        <v>67</v>
      </c>
      <c r="E5" s="9" t="s">
        <v>58</v>
      </c>
      <c r="F5" s="8" t="s">
        <v>66</v>
      </c>
      <c r="G5" s="9" t="s">
        <v>67</v>
      </c>
      <c r="H5" s="8" t="str">
        <f>"000012"</f>
        <v>000012</v>
      </c>
      <c r="I5" s="7">
        <v>43095</v>
      </c>
      <c r="J5" s="8" t="str">
        <f>"000069"</f>
        <v>000069</v>
      </c>
      <c r="K5" s="7">
        <v>43099</v>
      </c>
      <c r="L5" s="8" t="str">
        <f>"000184"</f>
        <v>000184</v>
      </c>
      <c r="M5" s="7">
        <v>43103</v>
      </c>
      <c r="N5" s="8">
        <v>16</v>
      </c>
      <c r="O5" s="8" t="str">
        <f>"009373"</f>
        <v>009373</v>
      </c>
      <c r="P5" s="7">
        <v>43131</v>
      </c>
      <c r="Q5" s="10">
        <v>32.283239999999999</v>
      </c>
      <c r="R5" s="10">
        <v>2.0225900000000001</v>
      </c>
      <c r="S5" s="10">
        <v>30.260649999999998</v>
      </c>
      <c r="T5" s="8">
        <v>9</v>
      </c>
      <c r="U5" s="7">
        <v>43565</v>
      </c>
      <c r="V5" s="8">
        <v>0</v>
      </c>
      <c r="W5" s="9" t="s">
        <v>68</v>
      </c>
      <c r="X5" s="8" t="s">
        <v>35</v>
      </c>
      <c r="Y5" s="9" t="s">
        <v>36</v>
      </c>
      <c r="Z5" s="8" t="s">
        <v>62</v>
      </c>
      <c r="AA5" s="9" t="s">
        <v>63</v>
      </c>
      <c r="AB5" s="10">
        <f t="shared" si="0"/>
        <v>0.32283240000000002</v>
      </c>
    </row>
    <row r="6" spans="1:28" s="4" customFormat="1" ht="13" x14ac:dyDescent="0.3">
      <c r="A6" s="5">
        <v>2290</v>
      </c>
      <c r="B6" s="6" t="s">
        <v>28</v>
      </c>
      <c r="C6" s="7">
        <v>43566</v>
      </c>
      <c r="D6" s="8">
        <v>67</v>
      </c>
      <c r="E6" s="9" t="s">
        <v>58</v>
      </c>
      <c r="F6" s="8" t="s">
        <v>69</v>
      </c>
      <c r="G6" s="9" t="s">
        <v>70</v>
      </c>
      <c r="H6" s="8" t="str">
        <f>"000089"</f>
        <v>000089</v>
      </c>
      <c r="I6" s="7">
        <v>42887</v>
      </c>
      <c r="J6" s="8" t="str">
        <f>"000009"</f>
        <v>000009</v>
      </c>
      <c r="K6" s="7">
        <v>42916</v>
      </c>
      <c r="L6" s="8" t="str">
        <f>"000010"</f>
        <v>000010</v>
      </c>
      <c r="M6" s="7">
        <v>42916</v>
      </c>
      <c r="N6" s="8">
        <v>17</v>
      </c>
      <c r="O6" s="8" t="str">
        <f>"000086"</f>
        <v>000086</v>
      </c>
      <c r="P6" s="7">
        <v>43563</v>
      </c>
      <c r="Q6" s="10">
        <v>10.98643</v>
      </c>
      <c r="R6" s="10">
        <v>1.6080700000000001</v>
      </c>
      <c r="S6" s="10">
        <v>9.3783600000000007</v>
      </c>
      <c r="T6" s="8">
        <v>12</v>
      </c>
      <c r="U6" s="7">
        <v>43566</v>
      </c>
      <c r="V6" s="8">
        <v>9845008155</v>
      </c>
      <c r="W6" s="9" t="s">
        <v>39</v>
      </c>
      <c r="X6" s="8" t="s">
        <v>47</v>
      </c>
      <c r="Y6" s="9" t="s">
        <v>48</v>
      </c>
      <c r="Z6" s="8" t="s">
        <v>45</v>
      </c>
      <c r="AA6" s="9" t="s">
        <v>46</v>
      </c>
      <c r="AB6" s="10">
        <f t="shared" si="0"/>
        <v>0.1098643</v>
      </c>
    </row>
    <row r="7" spans="1:28" s="4" customFormat="1" ht="13" x14ac:dyDescent="0.3">
      <c r="A7" s="5">
        <v>2291</v>
      </c>
      <c r="B7" s="6" t="s">
        <v>28</v>
      </c>
      <c r="C7" s="7">
        <v>43580</v>
      </c>
      <c r="D7" s="8">
        <v>67</v>
      </c>
      <c r="E7" s="9" t="s">
        <v>58</v>
      </c>
      <c r="F7" s="8" t="s">
        <v>71</v>
      </c>
      <c r="G7" s="9" t="s">
        <v>72</v>
      </c>
      <c r="H7" s="8" t="str">
        <f>"000017"</f>
        <v>000017</v>
      </c>
      <c r="I7" s="7">
        <v>42935</v>
      </c>
      <c r="J7" s="8" t="str">
        <f>"000214"</f>
        <v>000214</v>
      </c>
      <c r="K7" s="7">
        <v>43498</v>
      </c>
      <c r="L7" s="8" t="str">
        <f>"000215"</f>
        <v>000215</v>
      </c>
      <c r="M7" s="7">
        <v>43498</v>
      </c>
      <c r="N7" s="8">
        <v>16</v>
      </c>
      <c r="O7" s="8" t="str">
        <f>"000982"</f>
        <v>000982</v>
      </c>
      <c r="P7" s="7">
        <v>43579</v>
      </c>
      <c r="Q7" s="10">
        <v>22.245380000000001</v>
      </c>
      <c r="R7" s="10">
        <v>3.3118500000000002</v>
      </c>
      <c r="S7" s="10">
        <v>18.933530000000001</v>
      </c>
      <c r="T7" s="8">
        <v>29</v>
      </c>
      <c r="U7" s="7">
        <v>43580</v>
      </c>
      <c r="V7" s="8">
        <v>9620096296</v>
      </c>
      <c r="W7" s="9" t="s">
        <v>52</v>
      </c>
      <c r="X7" s="8" t="s">
        <v>29</v>
      </c>
      <c r="Y7" s="9" t="s">
        <v>30</v>
      </c>
      <c r="Z7" s="8" t="s">
        <v>45</v>
      </c>
      <c r="AA7" s="9" t="s">
        <v>46</v>
      </c>
      <c r="AB7" s="10">
        <f t="shared" si="0"/>
        <v>0.22245380000000001</v>
      </c>
    </row>
    <row r="8" spans="1:28" s="4" customFormat="1" ht="13" x14ac:dyDescent="0.3">
      <c r="A8" s="5">
        <v>2292</v>
      </c>
      <c r="B8" s="6" t="s">
        <v>34</v>
      </c>
      <c r="C8" s="7">
        <v>43588</v>
      </c>
      <c r="D8" s="8">
        <v>67</v>
      </c>
      <c r="E8" s="9" t="s">
        <v>58</v>
      </c>
      <c r="F8" s="8" t="s">
        <v>92</v>
      </c>
      <c r="G8" s="9" t="s">
        <v>93</v>
      </c>
      <c r="H8" s="8" t="str">
        <f>"000055"</f>
        <v>000055</v>
      </c>
      <c r="I8" s="7">
        <v>42900</v>
      </c>
      <c r="J8" s="8" t="str">
        <f>"000191"</f>
        <v>000191</v>
      </c>
      <c r="K8" s="7">
        <v>43553</v>
      </c>
      <c r="L8" s="8" t="str">
        <f>"000512"</f>
        <v>000512</v>
      </c>
      <c r="M8" s="7">
        <v>43553</v>
      </c>
      <c r="N8" s="8">
        <v>17</v>
      </c>
      <c r="O8" s="8" t="str">
        <f>"001125"</f>
        <v>001125</v>
      </c>
      <c r="P8" s="7">
        <v>43581</v>
      </c>
      <c r="Q8" s="10">
        <v>82.841809999999995</v>
      </c>
      <c r="R8" s="10">
        <v>3.5030000000000001</v>
      </c>
      <c r="S8" s="10">
        <v>79.338809999999995</v>
      </c>
      <c r="T8" s="8">
        <v>34</v>
      </c>
      <c r="U8" s="7">
        <v>43588</v>
      </c>
      <c r="V8" s="8">
        <v>9945277738</v>
      </c>
      <c r="W8" s="9" t="s">
        <v>94</v>
      </c>
      <c r="X8" s="8" t="s">
        <v>37</v>
      </c>
      <c r="Y8" s="9" t="s">
        <v>38</v>
      </c>
      <c r="Z8" s="8" t="s">
        <v>62</v>
      </c>
      <c r="AA8" s="9" t="s">
        <v>63</v>
      </c>
      <c r="AB8" s="10">
        <f t="shared" si="0"/>
        <v>0.82841809999999994</v>
      </c>
    </row>
    <row r="9" spans="1:28" s="4" customFormat="1" ht="13" x14ac:dyDescent="0.3">
      <c r="A9" s="5">
        <v>2293</v>
      </c>
      <c r="B9" s="6" t="s">
        <v>34</v>
      </c>
      <c r="C9" s="7">
        <v>43591</v>
      </c>
      <c r="D9" s="8">
        <v>67</v>
      </c>
      <c r="E9" s="9" t="s">
        <v>58</v>
      </c>
      <c r="F9" s="8" t="s">
        <v>95</v>
      </c>
      <c r="G9" s="9" t="s">
        <v>96</v>
      </c>
      <c r="H9" s="8" t="str">
        <f>"000231"</f>
        <v>000231</v>
      </c>
      <c r="I9" s="7">
        <v>43481</v>
      </c>
      <c r="J9" s="8" t="str">
        <f>"000185"</f>
        <v>000185</v>
      </c>
      <c r="K9" s="7">
        <v>43526</v>
      </c>
      <c r="L9" s="8" t="str">
        <f>"000497"</f>
        <v>000497</v>
      </c>
      <c r="M9" s="7">
        <v>43530</v>
      </c>
      <c r="N9" s="8">
        <v>17</v>
      </c>
      <c r="O9" s="8" t="str">
        <f>"001311"</f>
        <v>001311</v>
      </c>
      <c r="P9" s="7">
        <v>43588</v>
      </c>
      <c r="Q9" s="10">
        <v>1.4998800000000001</v>
      </c>
      <c r="R9" s="10">
        <v>0.16324</v>
      </c>
      <c r="S9" s="10">
        <v>1.3366400000000001</v>
      </c>
      <c r="T9" s="8">
        <v>35</v>
      </c>
      <c r="U9" s="7">
        <v>43591</v>
      </c>
      <c r="V9" s="8">
        <v>9900333496</v>
      </c>
      <c r="W9" s="9" t="s">
        <v>44</v>
      </c>
      <c r="X9" s="8" t="s">
        <v>40</v>
      </c>
      <c r="Y9" s="9" t="s">
        <v>41</v>
      </c>
      <c r="Z9" s="8" t="s">
        <v>62</v>
      </c>
      <c r="AA9" s="9" t="s">
        <v>63</v>
      </c>
      <c r="AB9" s="10">
        <f t="shared" si="0"/>
        <v>1.4998800000000001E-2</v>
      </c>
    </row>
    <row r="10" spans="1:28" s="4" customFormat="1" ht="13" x14ac:dyDescent="0.3">
      <c r="A10" s="5">
        <v>2294</v>
      </c>
      <c r="B10" s="6" t="s">
        <v>34</v>
      </c>
      <c r="C10" s="7">
        <v>43602</v>
      </c>
      <c r="D10" s="8">
        <v>67</v>
      </c>
      <c r="E10" s="9" t="s">
        <v>58</v>
      </c>
      <c r="F10" s="8" t="s">
        <v>97</v>
      </c>
      <c r="G10" s="9" t="s">
        <v>98</v>
      </c>
      <c r="H10" s="8" t="str">
        <f>"000106"</f>
        <v>000106</v>
      </c>
      <c r="I10" s="7">
        <v>42913</v>
      </c>
      <c r="J10" s="8" t="str">
        <f>"000024"</f>
        <v>000024</v>
      </c>
      <c r="K10" s="7">
        <v>42985</v>
      </c>
      <c r="L10" s="8" t="str">
        <f>"000041"</f>
        <v>000041</v>
      </c>
      <c r="M10" s="7">
        <v>42985</v>
      </c>
      <c r="N10" s="8">
        <v>17</v>
      </c>
      <c r="O10" s="8" t="str">
        <f>"001513"</f>
        <v>001513</v>
      </c>
      <c r="P10" s="7">
        <v>43599</v>
      </c>
      <c r="Q10" s="10">
        <v>19.7896</v>
      </c>
      <c r="R10" s="10">
        <v>2.90388</v>
      </c>
      <c r="S10" s="10">
        <v>16.885719999999999</v>
      </c>
      <c r="T10" s="8">
        <v>49</v>
      </c>
      <c r="U10" s="7">
        <v>43602</v>
      </c>
      <c r="V10" s="8">
        <v>9900333496</v>
      </c>
      <c r="W10" s="9" t="s">
        <v>44</v>
      </c>
      <c r="X10" s="8" t="s">
        <v>50</v>
      </c>
      <c r="Y10" s="9" t="s">
        <v>51</v>
      </c>
      <c r="Z10" s="8" t="s">
        <v>62</v>
      </c>
      <c r="AA10" s="9" t="s">
        <v>63</v>
      </c>
      <c r="AB10" s="10">
        <f t="shared" si="0"/>
        <v>0.19789599999999999</v>
      </c>
    </row>
    <row r="11" spans="1:28" s="4" customFormat="1" ht="13" x14ac:dyDescent="0.3">
      <c r="A11" s="5">
        <v>2295</v>
      </c>
      <c r="B11" s="6" t="s">
        <v>34</v>
      </c>
      <c r="C11" s="7">
        <v>43603</v>
      </c>
      <c r="D11" s="8">
        <v>67</v>
      </c>
      <c r="E11" s="9" t="s">
        <v>58</v>
      </c>
      <c r="F11" s="8" t="s">
        <v>99</v>
      </c>
      <c r="G11" s="9" t="s">
        <v>100</v>
      </c>
      <c r="H11" s="8" t="str">
        <f>"000012"</f>
        <v>000012</v>
      </c>
      <c r="I11" s="7">
        <v>42947</v>
      </c>
      <c r="J11" s="8" t="str">
        <f>"000043"</f>
        <v>000043</v>
      </c>
      <c r="K11" s="7">
        <v>43024</v>
      </c>
      <c r="L11" s="8" t="str">
        <f>"000073"</f>
        <v>000073</v>
      </c>
      <c r="M11" s="7">
        <v>43024</v>
      </c>
      <c r="N11" s="8">
        <v>16</v>
      </c>
      <c r="O11" s="8" t="str">
        <f>"001694"</f>
        <v>001694</v>
      </c>
      <c r="P11" s="7">
        <v>43602</v>
      </c>
      <c r="Q11" s="10">
        <v>86.861009999999993</v>
      </c>
      <c r="R11" s="10">
        <v>12.309839999999999</v>
      </c>
      <c r="S11" s="10">
        <v>74.551169999999999</v>
      </c>
      <c r="T11" s="8">
        <v>50</v>
      </c>
      <c r="U11" s="7">
        <v>43603</v>
      </c>
      <c r="V11" s="8">
        <v>9845008155</v>
      </c>
      <c r="W11" s="9" t="s">
        <v>53</v>
      </c>
      <c r="X11" s="8" t="s">
        <v>47</v>
      </c>
      <c r="Y11" s="9" t="s">
        <v>48</v>
      </c>
      <c r="Z11" s="8" t="s">
        <v>45</v>
      </c>
      <c r="AA11" s="9" t="s">
        <v>46</v>
      </c>
      <c r="AB11" s="10">
        <f t="shared" si="0"/>
        <v>0.86861009999999994</v>
      </c>
    </row>
    <row r="12" spans="1:28" s="4" customFormat="1" ht="13" x14ac:dyDescent="0.3">
      <c r="A12" s="5">
        <v>2296</v>
      </c>
      <c r="B12" s="6" t="s">
        <v>34</v>
      </c>
      <c r="C12" s="7">
        <v>43609</v>
      </c>
      <c r="D12" s="8">
        <v>67</v>
      </c>
      <c r="E12" s="9" t="s">
        <v>58</v>
      </c>
      <c r="F12" s="8" t="s">
        <v>101</v>
      </c>
      <c r="G12" s="9" t="s">
        <v>102</v>
      </c>
      <c r="H12" s="8" t="str">
        <f>"000092"</f>
        <v>000092</v>
      </c>
      <c r="I12" s="7">
        <v>42998</v>
      </c>
      <c r="J12" s="8" t="str">
        <f>"000049"</f>
        <v>000049</v>
      </c>
      <c r="K12" s="7">
        <v>43038</v>
      </c>
      <c r="L12" s="8" t="str">
        <f>"000085"</f>
        <v>000085</v>
      </c>
      <c r="M12" s="7">
        <v>43038</v>
      </c>
      <c r="N12" s="8">
        <v>17</v>
      </c>
      <c r="O12" s="8" t="str">
        <f>"001932"</f>
        <v>001932</v>
      </c>
      <c r="P12" s="7">
        <v>43607</v>
      </c>
      <c r="Q12" s="10">
        <v>8.7478099999999994</v>
      </c>
      <c r="R12" s="10">
        <v>0.54657</v>
      </c>
      <c r="S12" s="10">
        <v>8.2012400000000003</v>
      </c>
      <c r="T12" s="8">
        <v>57</v>
      </c>
      <c r="U12" s="7">
        <v>43609</v>
      </c>
      <c r="V12" s="8">
        <v>0</v>
      </c>
      <c r="W12" s="9" t="s">
        <v>103</v>
      </c>
      <c r="X12" s="8" t="s">
        <v>32</v>
      </c>
      <c r="Y12" s="9" t="s">
        <v>33</v>
      </c>
      <c r="Z12" s="8" t="s">
        <v>62</v>
      </c>
      <c r="AA12" s="9" t="s">
        <v>63</v>
      </c>
      <c r="AB12" s="10">
        <f t="shared" si="0"/>
        <v>8.7478099999999989E-2</v>
      </c>
    </row>
    <row r="13" spans="1:28" s="4" customFormat="1" ht="13" x14ac:dyDescent="0.3">
      <c r="A13" s="5">
        <v>2297</v>
      </c>
      <c r="B13" s="6" t="s">
        <v>34</v>
      </c>
      <c r="C13" s="7">
        <v>43609</v>
      </c>
      <c r="D13" s="8">
        <v>67</v>
      </c>
      <c r="E13" s="9" t="s">
        <v>58</v>
      </c>
      <c r="F13" s="8" t="s">
        <v>104</v>
      </c>
      <c r="G13" s="9" t="s">
        <v>105</v>
      </c>
      <c r="H13" s="8" t="str">
        <f>"000161"</f>
        <v>000161</v>
      </c>
      <c r="I13" s="7">
        <v>42559</v>
      </c>
      <c r="J13" s="8" t="str">
        <f>"000043"</f>
        <v>000043</v>
      </c>
      <c r="K13" s="7">
        <v>43036</v>
      </c>
      <c r="L13" s="8" t="str">
        <f>"000092"</f>
        <v>000092</v>
      </c>
      <c r="M13" s="7">
        <v>43039</v>
      </c>
      <c r="N13" s="8">
        <v>16</v>
      </c>
      <c r="O13" s="8" t="str">
        <f>"001952"</f>
        <v>001952</v>
      </c>
      <c r="P13" s="7">
        <v>43607</v>
      </c>
      <c r="Q13" s="10">
        <v>19.62229</v>
      </c>
      <c r="R13" s="10">
        <v>2.26525</v>
      </c>
      <c r="S13" s="10">
        <v>17.357040000000001</v>
      </c>
      <c r="T13" s="8">
        <v>57</v>
      </c>
      <c r="U13" s="7">
        <v>43609</v>
      </c>
      <c r="V13" s="8">
        <v>9900333496</v>
      </c>
      <c r="W13" s="9" t="s">
        <v>44</v>
      </c>
      <c r="X13" s="8" t="s">
        <v>42</v>
      </c>
      <c r="Y13" s="9" t="s">
        <v>43</v>
      </c>
      <c r="Z13" s="8" t="s">
        <v>62</v>
      </c>
      <c r="AA13" s="9" t="s">
        <v>63</v>
      </c>
      <c r="AB13" s="10">
        <f t="shared" si="0"/>
        <v>0.19622290000000001</v>
      </c>
    </row>
    <row r="14" spans="1:28" s="4" customFormat="1" ht="13" x14ac:dyDescent="0.3">
      <c r="A14" s="5">
        <v>2298</v>
      </c>
      <c r="B14" s="6" t="s">
        <v>34</v>
      </c>
      <c r="C14" s="7">
        <v>43609</v>
      </c>
      <c r="D14" s="8">
        <v>67</v>
      </c>
      <c r="E14" s="9" t="s">
        <v>58</v>
      </c>
      <c r="F14" s="8" t="s">
        <v>106</v>
      </c>
      <c r="G14" s="9" t="s">
        <v>107</v>
      </c>
      <c r="H14" s="8" t="str">
        <f>"000162"</f>
        <v>000162</v>
      </c>
      <c r="I14" s="7">
        <v>42559</v>
      </c>
      <c r="J14" s="8" t="str">
        <f>"000044"</f>
        <v>000044</v>
      </c>
      <c r="K14" s="7">
        <v>43036</v>
      </c>
      <c r="L14" s="8" t="str">
        <f>"000094"</f>
        <v>000094</v>
      </c>
      <c r="M14" s="7">
        <v>43039</v>
      </c>
      <c r="N14" s="8">
        <v>16</v>
      </c>
      <c r="O14" s="8" t="str">
        <f>"001953"</f>
        <v>001953</v>
      </c>
      <c r="P14" s="7">
        <v>43607</v>
      </c>
      <c r="Q14" s="10">
        <v>19.990600000000001</v>
      </c>
      <c r="R14" s="10">
        <v>2.2320700000000002</v>
      </c>
      <c r="S14" s="10">
        <v>17.75853</v>
      </c>
      <c r="T14" s="8">
        <v>57</v>
      </c>
      <c r="U14" s="7">
        <v>43609</v>
      </c>
      <c r="V14" s="8">
        <v>9900333496</v>
      </c>
      <c r="W14" s="9" t="s">
        <v>49</v>
      </c>
      <c r="X14" s="8" t="s">
        <v>42</v>
      </c>
      <c r="Y14" s="9" t="s">
        <v>43</v>
      </c>
      <c r="Z14" s="8" t="s">
        <v>62</v>
      </c>
      <c r="AA14" s="9" t="s">
        <v>63</v>
      </c>
      <c r="AB14" s="10">
        <f t="shared" si="0"/>
        <v>0.199906</v>
      </c>
    </row>
    <row r="15" spans="1:28" s="4" customFormat="1" ht="13" x14ac:dyDescent="0.3">
      <c r="A15" s="5">
        <v>2299</v>
      </c>
      <c r="B15" s="6" t="s">
        <v>34</v>
      </c>
      <c r="C15" s="7">
        <v>43609</v>
      </c>
      <c r="D15" s="8">
        <v>67</v>
      </c>
      <c r="E15" s="9" t="s">
        <v>58</v>
      </c>
      <c r="F15" s="8" t="s">
        <v>108</v>
      </c>
      <c r="G15" s="9" t="s">
        <v>109</v>
      </c>
      <c r="H15" s="8" t="str">
        <f>"000159"</f>
        <v>000159</v>
      </c>
      <c r="I15" s="7">
        <v>42559</v>
      </c>
      <c r="J15" s="8" t="str">
        <f>"000045"</f>
        <v>000045</v>
      </c>
      <c r="K15" s="7">
        <v>43036</v>
      </c>
      <c r="L15" s="8" t="str">
        <f>"000095"</f>
        <v>000095</v>
      </c>
      <c r="M15" s="7">
        <v>43039</v>
      </c>
      <c r="N15" s="8">
        <v>16</v>
      </c>
      <c r="O15" s="8" t="str">
        <f>"001956"</f>
        <v>001956</v>
      </c>
      <c r="P15" s="7">
        <v>43607</v>
      </c>
      <c r="Q15" s="10">
        <v>14.709669999999999</v>
      </c>
      <c r="R15" s="10">
        <v>1.7356799999999999</v>
      </c>
      <c r="S15" s="10">
        <v>12.973990000000001</v>
      </c>
      <c r="T15" s="8">
        <v>57</v>
      </c>
      <c r="U15" s="7">
        <v>43609</v>
      </c>
      <c r="V15" s="8">
        <v>9900333496</v>
      </c>
      <c r="W15" s="9" t="s">
        <v>44</v>
      </c>
      <c r="X15" s="8" t="s">
        <v>42</v>
      </c>
      <c r="Y15" s="9" t="s">
        <v>43</v>
      </c>
      <c r="Z15" s="8" t="s">
        <v>62</v>
      </c>
      <c r="AA15" s="9" t="s">
        <v>63</v>
      </c>
      <c r="AB15" s="10">
        <f t="shared" si="0"/>
        <v>0.1470967</v>
      </c>
    </row>
    <row r="16" spans="1:28" s="4" customFormat="1" ht="13" x14ac:dyDescent="0.3">
      <c r="A16" s="5">
        <v>2300</v>
      </c>
      <c r="B16" s="6" t="s">
        <v>34</v>
      </c>
      <c r="C16" s="7">
        <v>43609</v>
      </c>
      <c r="D16" s="8">
        <v>67</v>
      </c>
      <c r="E16" s="9" t="s">
        <v>58</v>
      </c>
      <c r="F16" s="8" t="s">
        <v>110</v>
      </c>
      <c r="G16" s="9" t="s">
        <v>111</v>
      </c>
      <c r="H16" s="8" t="str">
        <f>"000157"</f>
        <v>000157</v>
      </c>
      <c r="I16" s="7">
        <v>42559</v>
      </c>
      <c r="J16" s="8" t="str">
        <f>"000050"</f>
        <v>000050</v>
      </c>
      <c r="K16" s="7">
        <v>43038</v>
      </c>
      <c r="L16" s="8" t="str">
        <f>"000099"</f>
        <v>000099</v>
      </c>
      <c r="M16" s="7">
        <v>43039</v>
      </c>
      <c r="N16" s="8">
        <v>16</v>
      </c>
      <c r="O16" s="8" t="str">
        <f>"001957"</f>
        <v>001957</v>
      </c>
      <c r="P16" s="7">
        <v>43607</v>
      </c>
      <c r="Q16" s="10">
        <v>19.580960000000001</v>
      </c>
      <c r="R16" s="10">
        <v>2.2741799999999999</v>
      </c>
      <c r="S16" s="10">
        <v>17.30678</v>
      </c>
      <c r="T16" s="8">
        <v>57</v>
      </c>
      <c r="U16" s="7">
        <v>43609</v>
      </c>
      <c r="V16" s="8">
        <v>9900333496</v>
      </c>
      <c r="W16" s="9" t="s">
        <v>44</v>
      </c>
      <c r="X16" s="8" t="s">
        <v>42</v>
      </c>
      <c r="Y16" s="9" t="s">
        <v>43</v>
      </c>
      <c r="Z16" s="8" t="s">
        <v>62</v>
      </c>
      <c r="AA16" s="9" t="s">
        <v>63</v>
      </c>
      <c r="AB16" s="10">
        <f t="shared" si="0"/>
        <v>0.1958096</v>
      </c>
    </row>
    <row r="17" spans="1:28" s="4" customFormat="1" ht="13" x14ac:dyDescent="0.3">
      <c r="A17" s="5">
        <v>2301</v>
      </c>
      <c r="B17" s="6" t="s">
        <v>34</v>
      </c>
      <c r="C17" s="7">
        <v>43609</v>
      </c>
      <c r="D17" s="8">
        <v>67</v>
      </c>
      <c r="E17" s="9" t="s">
        <v>58</v>
      </c>
      <c r="F17" s="8" t="s">
        <v>112</v>
      </c>
      <c r="G17" s="9" t="s">
        <v>113</v>
      </c>
      <c r="H17" s="8" t="str">
        <f>"000160"</f>
        <v>000160</v>
      </c>
      <c r="I17" s="7">
        <v>42559</v>
      </c>
      <c r="J17" s="8" t="str">
        <f>"000052"</f>
        <v>000052</v>
      </c>
      <c r="K17" s="7">
        <v>43038</v>
      </c>
      <c r="L17" s="8" t="str">
        <f>"000100"</f>
        <v>000100</v>
      </c>
      <c r="M17" s="7">
        <v>43039</v>
      </c>
      <c r="N17" s="8">
        <v>16</v>
      </c>
      <c r="O17" s="8" t="str">
        <f>"001958"</f>
        <v>001958</v>
      </c>
      <c r="P17" s="7">
        <v>43607</v>
      </c>
      <c r="Q17" s="10">
        <v>9.8044200000000004</v>
      </c>
      <c r="R17" s="10">
        <v>1.0735699999999999</v>
      </c>
      <c r="S17" s="10">
        <v>8.7308500000000002</v>
      </c>
      <c r="T17" s="8">
        <v>57</v>
      </c>
      <c r="U17" s="7">
        <v>43609</v>
      </c>
      <c r="V17" s="8">
        <v>9900333496</v>
      </c>
      <c r="W17" s="9" t="s">
        <v>44</v>
      </c>
      <c r="X17" s="8" t="s">
        <v>42</v>
      </c>
      <c r="Y17" s="9" t="s">
        <v>43</v>
      </c>
      <c r="Z17" s="8" t="s">
        <v>62</v>
      </c>
      <c r="AA17" s="9" t="s">
        <v>63</v>
      </c>
      <c r="AB17" s="10">
        <f t="shared" si="0"/>
        <v>9.8044199999999998E-2</v>
      </c>
    </row>
    <row r="18" spans="1:28" s="4" customFormat="1" ht="13" x14ac:dyDescent="0.3">
      <c r="A18" s="5">
        <v>2302</v>
      </c>
      <c r="B18" s="6" t="s">
        <v>34</v>
      </c>
      <c r="C18" s="7">
        <v>43609</v>
      </c>
      <c r="D18" s="8">
        <v>67</v>
      </c>
      <c r="E18" s="9" t="s">
        <v>58</v>
      </c>
      <c r="F18" s="8" t="s">
        <v>114</v>
      </c>
      <c r="G18" s="9" t="s">
        <v>115</v>
      </c>
      <c r="H18" s="8" t="str">
        <f>"000158"</f>
        <v>000158</v>
      </c>
      <c r="I18" s="7">
        <v>42559</v>
      </c>
      <c r="J18" s="8" t="str">
        <f>"000053"</f>
        <v>000053</v>
      </c>
      <c r="K18" s="7">
        <v>43038</v>
      </c>
      <c r="L18" s="8" t="str">
        <f>"000101"</f>
        <v>000101</v>
      </c>
      <c r="M18" s="7">
        <v>43039</v>
      </c>
      <c r="N18" s="8">
        <v>16</v>
      </c>
      <c r="O18" s="8" t="str">
        <f>"001959"</f>
        <v>001959</v>
      </c>
      <c r="P18" s="7">
        <v>43607</v>
      </c>
      <c r="Q18" s="10">
        <v>14.539339999999999</v>
      </c>
      <c r="R18" s="10">
        <v>1.66299</v>
      </c>
      <c r="S18" s="10">
        <v>12.87635</v>
      </c>
      <c r="T18" s="8">
        <v>57</v>
      </c>
      <c r="U18" s="7">
        <v>43609</v>
      </c>
      <c r="V18" s="8">
        <v>9900333496</v>
      </c>
      <c r="W18" s="9" t="s">
        <v>44</v>
      </c>
      <c r="X18" s="8" t="s">
        <v>42</v>
      </c>
      <c r="Y18" s="9" t="s">
        <v>43</v>
      </c>
      <c r="Z18" s="8" t="s">
        <v>62</v>
      </c>
      <c r="AA18" s="9" t="s">
        <v>63</v>
      </c>
      <c r="AB18" s="10">
        <f t="shared" si="0"/>
        <v>0.14539340000000001</v>
      </c>
    </row>
    <row r="19" spans="1:28" s="4" customFormat="1" ht="13" x14ac:dyDescent="0.3">
      <c r="A19" s="5">
        <v>2303</v>
      </c>
      <c r="B19" s="6" t="s">
        <v>31</v>
      </c>
      <c r="C19" s="7">
        <v>43628</v>
      </c>
      <c r="D19" s="8">
        <v>67</v>
      </c>
      <c r="E19" s="9" t="s">
        <v>58</v>
      </c>
      <c r="F19" s="8" t="s">
        <v>73</v>
      </c>
      <c r="G19" s="9" t="s">
        <v>74</v>
      </c>
      <c r="H19" s="8" t="str">
        <f>"000077"</f>
        <v>000077</v>
      </c>
      <c r="I19" s="7">
        <v>42937</v>
      </c>
      <c r="J19" s="8" t="str">
        <f>"000055"</f>
        <v>000055</v>
      </c>
      <c r="K19" s="7">
        <v>43077</v>
      </c>
      <c r="L19" s="8" t="str">
        <f>"000116"</f>
        <v>000116</v>
      </c>
      <c r="M19" s="7">
        <v>43077</v>
      </c>
      <c r="N19" s="8">
        <v>17</v>
      </c>
      <c r="O19" s="8" t="str">
        <f>"002432"</f>
        <v>002432</v>
      </c>
      <c r="P19" s="7">
        <v>43622</v>
      </c>
      <c r="Q19" s="10">
        <v>14.78811</v>
      </c>
      <c r="R19" s="10">
        <v>1.69672</v>
      </c>
      <c r="S19" s="10">
        <v>13.091390000000001</v>
      </c>
      <c r="T19" s="8">
        <v>76</v>
      </c>
      <c r="U19" s="7">
        <v>43628</v>
      </c>
      <c r="V19" s="8">
        <v>9900333496</v>
      </c>
      <c r="W19" s="9" t="s">
        <v>44</v>
      </c>
      <c r="X19" s="8" t="s">
        <v>47</v>
      </c>
      <c r="Y19" s="9" t="s">
        <v>48</v>
      </c>
      <c r="Z19" s="8" t="s">
        <v>62</v>
      </c>
      <c r="AA19" s="9" t="s">
        <v>63</v>
      </c>
      <c r="AB19" s="10">
        <v>0.14788109999999999</v>
      </c>
    </row>
    <row r="20" spans="1:28" s="4" customFormat="1" ht="13" x14ac:dyDescent="0.3">
      <c r="A20" s="5">
        <v>2304</v>
      </c>
      <c r="B20" s="6" t="s">
        <v>31</v>
      </c>
      <c r="C20" s="7">
        <v>43628</v>
      </c>
      <c r="D20" s="8">
        <v>67</v>
      </c>
      <c r="E20" s="9" t="s">
        <v>58</v>
      </c>
      <c r="F20" s="8" t="s">
        <v>75</v>
      </c>
      <c r="G20" s="9" t="s">
        <v>76</v>
      </c>
      <c r="H20" s="8" t="str">
        <f>"000078"</f>
        <v>000078</v>
      </c>
      <c r="I20" s="7">
        <v>42937</v>
      </c>
      <c r="J20" s="8" t="str">
        <f>"000056"</f>
        <v>000056</v>
      </c>
      <c r="K20" s="7">
        <v>43077</v>
      </c>
      <c r="L20" s="8" t="str">
        <f>"000117"</f>
        <v>000117</v>
      </c>
      <c r="M20" s="7">
        <v>43077</v>
      </c>
      <c r="N20" s="8">
        <v>17</v>
      </c>
      <c r="O20" s="8" t="str">
        <f>"002433"</f>
        <v>002433</v>
      </c>
      <c r="P20" s="7">
        <v>43622</v>
      </c>
      <c r="Q20" s="10">
        <v>14.78811</v>
      </c>
      <c r="R20" s="10">
        <v>1.69672</v>
      </c>
      <c r="S20" s="10">
        <v>13.091390000000001</v>
      </c>
      <c r="T20" s="8">
        <v>76</v>
      </c>
      <c r="U20" s="7">
        <v>43628</v>
      </c>
      <c r="V20" s="8">
        <v>9900333496</v>
      </c>
      <c r="W20" s="9" t="s">
        <v>44</v>
      </c>
      <c r="X20" s="8" t="s">
        <v>47</v>
      </c>
      <c r="Y20" s="9" t="s">
        <v>48</v>
      </c>
      <c r="Z20" s="8" t="s">
        <v>62</v>
      </c>
      <c r="AA20" s="9" t="s">
        <v>63</v>
      </c>
      <c r="AB20" s="10">
        <v>0.14788109999999999</v>
      </c>
    </row>
    <row r="21" spans="1:28" s="4" customFormat="1" ht="13" x14ac:dyDescent="0.3">
      <c r="A21" s="5">
        <v>2305</v>
      </c>
      <c r="B21" s="6" t="s">
        <v>31</v>
      </c>
      <c r="C21" s="7">
        <v>43629</v>
      </c>
      <c r="D21" s="8">
        <v>67</v>
      </c>
      <c r="E21" s="9" t="s">
        <v>58</v>
      </c>
      <c r="F21" s="8" t="s">
        <v>77</v>
      </c>
      <c r="G21" s="9" t="s">
        <v>78</v>
      </c>
      <c r="H21" s="8" t="str">
        <f>"000327"</f>
        <v>000327</v>
      </c>
      <c r="I21" s="7">
        <v>42627</v>
      </c>
      <c r="J21" s="8" t="str">
        <f>"000176"</f>
        <v>000176</v>
      </c>
      <c r="K21" s="7">
        <v>43522</v>
      </c>
      <c r="L21" s="8" t="str">
        <f>"000483"</f>
        <v>000483</v>
      </c>
      <c r="M21" s="7">
        <v>43523</v>
      </c>
      <c r="N21" s="8">
        <v>17</v>
      </c>
      <c r="O21" s="8" t="str">
        <f>"002526"</f>
        <v>002526</v>
      </c>
      <c r="P21" s="7">
        <v>43623</v>
      </c>
      <c r="Q21" s="10">
        <v>14.9983</v>
      </c>
      <c r="R21" s="10">
        <v>1.9659800000000001</v>
      </c>
      <c r="S21" s="10">
        <v>13.03232</v>
      </c>
      <c r="T21" s="8">
        <v>81</v>
      </c>
      <c r="U21" s="7">
        <v>43629</v>
      </c>
      <c r="V21" s="8">
        <v>9900333496</v>
      </c>
      <c r="W21" s="9" t="s">
        <v>44</v>
      </c>
      <c r="X21" s="8" t="s">
        <v>37</v>
      </c>
      <c r="Y21" s="9" t="s">
        <v>38</v>
      </c>
      <c r="Z21" s="8" t="s">
        <v>62</v>
      </c>
      <c r="AA21" s="9" t="s">
        <v>63</v>
      </c>
      <c r="AB21" s="10">
        <v>0.14998300000000001</v>
      </c>
    </row>
    <row r="22" spans="1:28" s="4" customFormat="1" ht="13" x14ac:dyDescent="0.3">
      <c r="A22" s="5">
        <v>2306</v>
      </c>
      <c r="B22" s="6" t="s">
        <v>31</v>
      </c>
      <c r="C22" s="7">
        <v>43629</v>
      </c>
      <c r="D22" s="8">
        <v>67</v>
      </c>
      <c r="E22" s="9" t="s">
        <v>58</v>
      </c>
      <c r="F22" s="8" t="s">
        <v>79</v>
      </c>
      <c r="G22" s="9" t="s">
        <v>80</v>
      </c>
      <c r="H22" s="8" t="str">
        <f>"000442"</f>
        <v>000442</v>
      </c>
      <c r="I22" s="7">
        <v>43542</v>
      </c>
      <c r="J22" s="8" t="str">
        <f>"000029"</f>
        <v>000029</v>
      </c>
      <c r="K22" s="7">
        <v>43607</v>
      </c>
      <c r="L22" s="8" t="str">
        <f>"000082"</f>
        <v>000082</v>
      </c>
      <c r="M22" s="7">
        <v>43607</v>
      </c>
      <c r="N22" s="8">
        <v>19</v>
      </c>
      <c r="O22" s="8" t="str">
        <f>"002542"</f>
        <v>002542</v>
      </c>
      <c r="P22" s="7">
        <v>43623</v>
      </c>
      <c r="Q22" s="10">
        <v>49.99539</v>
      </c>
      <c r="R22" s="10">
        <v>5.7876000000000003</v>
      </c>
      <c r="S22" s="10">
        <v>44.207790000000003</v>
      </c>
      <c r="T22" s="8">
        <v>81</v>
      </c>
      <c r="U22" s="7">
        <v>43629</v>
      </c>
      <c r="V22" s="8">
        <v>9900333496</v>
      </c>
      <c r="W22" s="9" t="s">
        <v>44</v>
      </c>
      <c r="X22" s="8" t="s">
        <v>37</v>
      </c>
      <c r="Y22" s="9" t="s">
        <v>38</v>
      </c>
      <c r="Z22" s="8" t="s">
        <v>62</v>
      </c>
      <c r="AA22" s="9" t="s">
        <v>63</v>
      </c>
      <c r="AB22" s="10">
        <v>0.49995390000000001</v>
      </c>
    </row>
    <row r="23" spans="1:28" s="4" customFormat="1" ht="13" x14ac:dyDescent="0.3">
      <c r="A23" s="5">
        <v>2307</v>
      </c>
      <c r="B23" s="6" t="s">
        <v>31</v>
      </c>
      <c r="C23" s="7">
        <v>43633</v>
      </c>
      <c r="D23" s="8">
        <v>67</v>
      </c>
      <c r="E23" s="9" t="s">
        <v>58</v>
      </c>
      <c r="F23" s="8" t="s">
        <v>81</v>
      </c>
      <c r="G23" s="9" t="s">
        <v>82</v>
      </c>
      <c r="H23" s="8" t="str">
        <f>"000466"</f>
        <v>000466</v>
      </c>
      <c r="I23" s="7">
        <v>43544</v>
      </c>
      <c r="J23" s="8" t="str">
        <f>"000043"</f>
        <v>000043</v>
      </c>
      <c r="K23" s="7">
        <v>43612</v>
      </c>
      <c r="L23" s="8" t="str">
        <f>"000106"</f>
        <v>000106</v>
      </c>
      <c r="M23" s="7">
        <v>43614</v>
      </c>
      <c r="N23" s="8">
        <v>19</v>
      </c>
      <c r="O23" s="8" t="str">
        <f>"002747"</f>
        <v>002747</v>
      </c>
      <c r="P23" s="7">
        <v>43630</v>
      </c>
      <c r="Q23" s="10">
        <v>14.82564</v>
      </c>
      <c r="R23" s="10">
        <v>1.6828799999999999</v>
      </c>
      <c r="S23" s="10">
        <v>13.142760000000001</v>
      </c>
      <c r="T23" s="8">
        <v>84</v>
      </c>
      <c r="U23" s="7">
        <v>43633</v>
      </c>
      <c r="V23" s="8">
        <v>9900333496</v>
      </c>
      <c r="W23" s="9" t="s">
        <v>44</v>
      </c>
      <c r="X23" s="8" t="s">
        <v>37</v>
      </c>
      <c r="Y23" s="9" t="s">
        <v>38</v>
      </c>
      <c r="Z23" s="8" t="s">
        <v>62</v>
      </c>
      <c r="AA23" s="9" t="s">
        <v>63</v>
      </c>
      <c r="AB23" s="10">
        <v>0.14825640000000001</v>
      </c>
    </row>
    <row r="24" spans="1:28" s="4" customFormat="1" ht="13" x14ac:dyDescent="0.3">
      <c r="A24" s="5">
        <v>2308</v>
      </c>
      <c r="B24" s="6" t="s">
        <v>31</v>
      </c>
      <c r="C24" s="7">
        <v>43633</v>
      </c>
      <c r="D24" s="8">
        <v>67</v>
      </c>
      <c r="E24" s="9" t="s">
        <v>58</v>
      </c>
      <c r="F24" s="8" t="s">
        <v>83</v>
      </c>
      <c r="G24" s="9" t="s">
        <v>84</v>
      </c>
      <c r="H24" s="8" t="str">
        <f>"000465"</f>
        <v>000465</v>
      </c>
      <c r="I24" s="7">
        <v>43544</v>
      </c>
      <c r="J24" s="8" t="str">
        <f>"000003"</f>
        <v>000003</v>
      </c>
      <c r="K24" s="7">
        <v>43587</v>
      </c>
      <c r="L24" s="8" t="str">
        <f>"000014"</f>
        <v>000014</v>
      </c>
      <c r="M24" s="7">
        <v>43589</v>
      </c>
      <c r="N24" s="8">
        <v>19</v>
      </c>
      <c r="O24" s="8" t="str">
        <f>"002748"</f>
        <v>002748</v>
      </c>
      <c r="P24" s="7">
        <v>43630</v>
      </c>
      <c r="Q24" s="10">
        <v>19.99672</v>
      </c>
      <c r="R24" s="10">
        <v>2.1767799999999999</v>
      </c>
      <c r="S24" s="10">
        <v>17.819939999999999</v>
      </c>
      <c r="T24" s="8">
        <v>84</v>
      </c>
      <c r="U24" s="7">
        <v>43633</v>
      </c>
      <c r="V24" s="8">
        <v>9900333496</v>
      </c>
      <c r="W24" s="9" t="s">
        <v>44</v>
      </c>
      <c r="X24" s="8" t="s">
        <v>37</v>
      </c>
      <c r="Y24" s="9" t="s">
        <v>38</v>
      </c>
      <c r="Z24" s="8" t="s">
        <v>62</v>
      </c>
      <c r="AA24" s="9" t="s">
        <v>63</v>
      </c>
      <c r="AB24" s="10">
        <v>0.19996720000000001</v>
      </c>
    </row>
    <row r="25" spans="1:28" s="4" customFormat="1" ht="13" x14ac:dyDescent="0.3">
      <c r="A25" s="5">
        <v>2309</v>
      </c>
      <c r="B25" s="6" t="s">
        <v>31</v>
      </c>
      <c r="C25" s="7">
        <v>43633</v>
      </c>
      <c r="D25" s="8">
        <v>67</v>
      </c>
      <c r="E25" s="9" t="s">
        <v>58</v>
      </c>
      <c r="F25" s="8" t="s">
        <v>85</v>
      </c>
      <c r="G25" s="9" t="s">
        <v>86</v>
      </c>
      <c r="H25" s="8" t="str">
        <f>"000417"</f>
        <v>000417</v>
      </c>
      <c r="I25" s="7">
        <v>43540</v>
      </c>
      <c r="J25" s="8" t="str">
        <f>"000015"</f>
        <v>000015</v>
      </c>
      <c r="K25" s="7">
        <v>43598</v>
      </c>
      <c r="L25" s="8" t="str">
        <f>"000051"</f>
        <v>000051</v>
      </c>
      <c r="M25" s="7">
        <v>43599</v>
      </c>
      <c r="N25" s="8">
        <v>19</v>
      </c>
      <c r="O25" s="8" t="str">
        <f>"002751"</f>
        <v>002751</v>
      </c>
      <c r="P25" s="7">
        <v>43630</v>
      </c>
      <c r="Q25" s="10">
        <v>19.633870000000002</v>
      </c>
      <c r="R25" s="10">
        <v>2.1372800000000001</v>
      </c>
      <c r="S25" s="10">
        <v>17.496590000000001</v>
      </c>
      <c r="T25" s="8">
        <v>84</v>
      </c>
      <c r="U25" s="7">
        <v>43633</v>
      </c>
      <c r="V25" s="8">
        <v>9900333496</v>
      </c>
      <c r="W25" s="9" t="s">
        <v>44</v>
      </c>
      <c r="X25" s="8" t="s">
        <v>37</v>
      </c>
      <c r="Y25" s="9" t="s">
        <v>38</v>
      </c>
      <c r="Z25" s="8" t="s">
        <v>62</v>
      </c>
      <c r="AA25" s="9" t="s">
        <v>63</v>
      </c>
      <c r="AB25" s="10">
        <v>0.1963387</v>
      </c>
    </row>
    <row r="26" spans="1:28" s="4" customFormat="1" ht="13" x14ac:dyDescent="0.3">
      <c r="A26" s="5">
        <v>2310</v>
      </c>
      <c r="B26" s="6" t="s">
        <v>31</v>
      </c>
      <c r="C26" s="7">
        <v>43644</v>
      </c>
      <c r="D26" s="8">
        <v>67</v>
      </c>
      <c r="E26" s="9" t="s">
        <v>58</v>
      </c>
      <c r="F26" s="8" t="s">
        <v>87</v>
      </c>
      <c r="G26" s="9" t="s">
        <v>88</v>
      </c>
      <c r="H26" s="8" t="str">
        <f>"000418"</f>
        <v>000418</v>
      </c>
      <c r="I26" s="7">
        <v>43540</v>
      </c>
      <c r="J26" s="8" t="str">
        <f>"000014"</f>
        <v>000014</v>
      </c>
      <c r="K26" s="7">
        <v>43598</v>
      </c>
      <c r="L26" s="8" t="str">
        <f>"000050"</f>
        <v>000050</v>
      </c>
      <c r="M26" s="7">
        <v>43599</v>
      </c>
      <c r="N26" s="8">
        <v>19</v>
      </c>
      <c r="O26" s="8" t="str">
        <f>"002873"</f>
        <v>002873</v>
      </c>
      <c r="P26" s="7">
        <v>43636</v>
      </c>
      <c r="Q26" s="10">
        <v>29.48995</v>
      </c>
      <c r="R26" s="10">
        <v>3.35764</v>
      </c>
      <c r="S26" s="10">
        <v>26.13231</v>
      </c>
      <c r="T26" s="8">
        <v>95</v>
      </c>
      <c r="U26" s="7">
        <v>43644</v>
      </c>
      <c r="V26" s="8">
        <v>9900333496</v>
      </c>
      <c r="W26" s="9" t="s">
        <v>44</v>
      </c>
      <c r="X26" s="8" t="s">
        <v>37</v>
      </c>
      <c r="Y26" s="9" t="s">
        <v>38</v>
      </c>
      <c r="Z26" s="8" t="s">
        <v>62</v>
      </c>
      <c r="AA26" s="9" t="s">
        <v>63</v>
      </c>
      <c r="AB26" s="10">
        <v>0.29489949999999998</v>
      </c>
    </row>
    <row r="27" spans="1:28" s="4" customFormat="1" ht="13" x14ac:dyDescent="0.3">
      <c r="A27" s="5">
        <v>2311</v>
      </c>
      <c r="B27" s="6" t="s">
        <v>31</v>
      </c>
      <c r="C27" s="7">
        <v>43644</v>
      </c>
      <c r="D27" s="8">
        <v>67</v>
      </c>
      <c r="E27" s="9" t="s">
        <v>58</v>
      </c>
      <c r="F27" s="8" t="s">
        <v>89</v>
      </c>
      <c r="G27" s="9" t="s">
        <v>90</v>
      </c>
      <c r="H27" s="8" t="str">
        <f>"000010"</f>
        <v>000010</v>
      </c>
      <c r="I27" s="7">
        <v>43617</v>
      </c>
      <c r="J27" s="8" t="str">
        <f>"000046"</f>
        <v>000046</v>
      </c>
      <c r="K27" s="7">
        <v>43619</v>
      </c>
      <c r="L27" s="8" t="str">
        <f>"000115"</f>
        <v>000115</v>
      </c>
      <c r="M27" s="7">
        <v>43620</v>
      </c>
      <c r="N27" s="8">
        <v>19</v>
      </c>
      <c r="O27" s="8" t="str">
        <f>"002885"</f>
        <v>002885</v>
      </c>
      <c r="P27" s="7">
        <v>43636</v>
      </c>
      <c r="Q27" s="10">
        <v>50.1128</v>
      </c>
      <c r="R27" s="10">
        <v>5.20458</v>
      </c>
      <c r="S27" s="10">
        <v>44.90822</v>
      </c>
      <c r="T27" s="8">
        <v>95</v>
      </c>
      <c r="U27" s="7">
        <v>43644</v>
      </c>
      <c r="V27" s="8">
        <v>0</v>
      </c>
      <c r="W27" s="9" t="s">
        <v>91</v>
      </c>
      <c r="X27" s="8" t="s">
        <v>37</v>
      </c>
      <c r="Y27" s="9" t="s">
        <v>38</v>
      </c>
      <c r="Z27" s="8" t="s">
        <v>62</v>
      </c>
      <c r="AA27" s="9" t="s">
        <v>63</v>
      </c>
      <c r="AB27" s="10">
        <v>0.50112800000000002</v>
      </c>
    </row>
    <row r="28" spans="1:28" s="4" customFormat="1" ht="13" x14ac:dyDescent="0.3">
      <c r="A28" s="5">
        <v>2312</v>
      </c>
      <c r="B28" s="6" t="s">
        <v>116</v>
      </c>
      <c r="C28" s="7">
        <v>43647</v>
      </c>
      <c r="D28" s="8">
        <v>67</v>
      </c>
      <c r="E28" s="9" t="s">
        <v>58</v>
      </c>
      <c r="F28" s="8" t="s">
        <v>117</v>
      </c>
      <c r="G28" s="11" t="s">
        <v>118</v>
      </c>
      <c r="H28" s="8" t="str">
        <f>"000094"</f>
        <v>000094</v>
      </c>
      <c r="I28" s="7">
        <v>43012</v>
      </c>
      <c r="J28" s="8" t="str">
        <f>"000089"</f>
        <v>000089</v>
      </c>
      <c r="K28" s="7">
        <v>43119</v>
      </c>
      <c r="L28" s="8" t="str">
        <f>"000204"</f>
        <v>000204</v>
      </c>
      <c r="M28" s="7">
        <v>43119</v>
      </c>
      <c r="N28" s="8">
        <v>17</v>
      </c>
      <c r="O28" s="8" t="str">
        <f>"003099"</f>
        <v>003099</v>
      </c>
      <c r="P28" s="7">
        <v>43640</v>
      </c>
      <c r="Q28" s="12">
        <v>14.398630000000001</v>
      </c>
      <c r="R28" s="12">
        <v>0.67634000000000005</v>
      </c>
      <c r="S28" s="12">
        <v>13.722289999999999</v>
      </c>
      <c r="T28" s="8">
        <v>96</v>
      </c>
      <c r="U28" s="7">
        <v>43647</v>
      </c>
      <c r="V28" s="8">
        <v>0</v>
      </c>
      <c r="W28" s="11" t="s">
        <v>119</v>
      </c>
      <c r="X28" s="8" t="s">
        <v>32</v>
      </c>
      <c r="Y28" s="11" t="s">
        <v>33</v>
      </c>
      <c r="Z28" s="8" t="s">
        <v>62</v>
      </c>
      <c r="AA28" s="11" t="s">
        <v>63</v>
      </c>
      <c r="AB28" s="12">
        <f t="shared" ref="AB28:AB46" si="1">Q28/100</f>
        <v>0.14398630000000001</v>
      </c>
    </row>
    <row r="29" spans="1:28" s="4" customFormat="1" ht="13" x14ac:dyDescent="0.3">
      <c r="A29" s="5">
        <v>2313</v>
      </c>
      <c r="B29" s="6" t="s">
        <v>116</v>
      </c>
      <c r="C29" s="7">
        <v>43647</v>
      </c>
      <c r="D29" s="8">
        <v>67</v>
      </c>
      <c r="E29" s="9" t="s">
        <v>58</v>
      </c>
      <c r="F29" s="8" t="s">
        <v>120</v>
      </c>
      <c r="G29" s="11" t="s">
        <v>121</v>
      </c>
      <c r="H29" s="8" t="str">
        <f>"000155"</f>
        <v>000155</v>
      </c>
      <c r="I29" s="7">
        <v>43134</v>
      </c>
      <c r="J29" s="8" t="str">
        <f>"000018"</f>
        <v>000018</v>
      </c>
      <c r="K29" s="7">
        <v>43600</v>
      </c>
      <c r="L29" s="8" t="str">
        <f>"000061"</f>
        <v>000061</v>
      </c>
      <c r="M29" s="7">
        <v>43601</v>
      </c>
      <c r="N29" s="8">
        <v>18</v>
      </c>
      <c r="O29" s="8" t="str">
        <f>"003030"</f>
        <v>003030</v>
      </c>
      <c r="P29" s="7">
        <v>43640</v>
      </c>
      <c r="Q29" s="12">
        <v>19.943930000000002</v>
      </c>
      <c r="R29" s="12">
        <v>2.5179999999999998</v>
      </c>
      <c r="S29" s="12">
        <v>17.425930000000001</v>
      </c>
      <c r="T29" s="8">
        <v>97</v>
      </c>
      <c r="U29" s="7">
        <v>43647</v>
      </c>
      <c r="V29" s="8">
        <v>9900333496</v>
      </c>
      <c r="W29" s="11" t="s">
        <v>44</v>
      </c>
      <c r="X29" s="8" t="s">
        <v>122</v>
      </c>
      <c r="Y29" s="11" t="s">
        <v>123</v>
      </c>
      <c r="Z29" s="8" t="s">
        <v>62</v>
      </c>
      <c r="AA29" s="11" t="s">
        <v>63</v>
      </c>
      <c r="AB29" s="12">
        <f t="shared" si="1"/>
        <v>0.19943930000000001</v>
      </c>
    </row>
    <row r="30" spans="1:28" s="4" customFormat="1" ht="13" x14ac:dyDescent="0.3">
      <c r="A30" s="5">
        <v>2314</v>
      </c>
      <c r="B30" s="6" t="s">
        <v>116</v>
      </c>
      <c r="C30" s="7">
        <v>43647</v>
      </c>
      <c r="D30" s="8">
        <v>67</v>
      </c>
      <c r="E30" s="9" t="s">
        <v>58</v>
      </c>
      <c r="F30" s="8" t="s">
        <v>124</v>
      </c>
      <c r="G30" s="11" t="s">
        <v>125</v>
      </c>
      <c r="H30" s="8" t="str">
        <f>"000153"</f>
        <v>000153</v>
      </c>
      <c r="I30" s="7">
        <v>43134</v>
      </c>
      <c r="J30" s="8" t="str">
        <f>"000019"</f>
        <v>000019</v>
      </c>
      <c r="K30" s="7">
        <v>43600</v>
      </c>
      <c r="L30" s="8" t="str">
        <f>"000060"</f>
        <v>000060</v>
      </c>
      <c r="M30" s="7">
        <v>43601</v>
      </c>
      <c r="N30" s="8">
        <v>18</v>
      </c>
      <c r="O30" s="8" t="str">
        <f>"003032"</f>
        <v>003032</v>
      </c>
      <c r="P30" s="7">
        <v>43640</v>
      </c>
      <c r="Q30" s="12">
        <v>19.999949999999998</v>
      </c>
      <c r="R30" s="12">
        <v>2.5434700000000001</v>
      </c>
      <c r="S30" s="12">
        <v>17.456479999999999</v>
      </c>
      <c r="T30" s="8">
        <v>97</v>
      </c>
      <c r="U30" s="7">
        <v>43647</v>
      </c>
      <c r="V30" s="8">
        <v>9900333496</v>
      </c>
      <c r="W30" s="11" t="s">
        <v>44</v>
      </c>
      <c r="X30" s="8" t="s">
        <v>122</v>
      </c>
      <c r="Y30" s="11" t="s">
        <v>123</v>
      </c>
      <c r="Z30" s="8" t="s">
        <v>62</v>
      </c>
      <c r="AA30" s="11" t="s">
        <v>63</v>
      </c>
      <c r="AB30" s="12">
        <f t="shared" si="1"/>
        <v>0.1999995</v>
      </c>
    </row>
    <row r="31" spans="1:28" s="4" customFormat="1" ht="13" x14ac:dyDescent="0.3">
      <c r="A31" s="5">
        <v>2315</v>
      </c>
      <c r="B31" s="6" t="s">
        <v>116</v>
      </c>
      <c r="C31" s="7">
        <v>43663</v>
      </c>
      <c r="D31" s="8">
        <v>67</v>
      </c>
      <c r="E31" s="9" t="s">
        <v>58</v>
      </c>
      <c r="F31" s="8" t="s">
        <v>126</v>
      </c>
      <c r="G31" s="11" t="s">
        <v>127</v>
      </c>
      <c r="H31" s="8" t="str">
        <f>"000466"</f>
        <v>000466</v>
      </c>
      <c r="I31" s="7">
        <v>42802</v>
      </c>
      <c r="J31" s="8" t="str">
        <f>"000144"</f>
        <v>000144</v>
      </c>
      <c r="K31" s="7">
        <v>42916</v>
      </c>
      <c r="L31" s="8" t="str">
        <f>"000376"</f>
        <v>000376</v>
      </c>
      <c r="M31" s="7">
        <v>42916</v>
      </c>
      <c r="N31" s="8">
        <v>17</v>
      </c>
      <c r="O31" s="8" t="str">
        <f>"005643"</f>
        <v>005643</v>
      </c>
      <c r="P31" s="7">
        <v>43349</v>
      </c>
      <c r="Q31" s="12">
        <v>3.4830899999999998</v>
      </c>
      <c r="R31" s="12">
        <v>0.1648</v>
      </c>
      <c r="S31" s="12">
        <v>3.3182900000000002</v>
      </c>
      <c r="T31" s="8">
        <v>113</v>
      </c>
      <c r="U31" s="7">
        <v>43663</v>
      </c>
      <c r="V31" s="8">
        <v>0</v>
      </c>
      <c r="W31" s="11" t="s">
        <v>128</v>
      </c>
      <c r="X31" s="8" t="s">
        <v>32</v>
      </c>
      <c r="Y31" s="11" t="s">
        <v>33</v>
      </c>
      <c r="Z31" s="8" t="s">
        <v>62</v>
      </c>
      <c r="AA31" s="11" t="s">
        <v>63</v>
      </c>
      <c r="AB31" s="12">
        <f t="shared" si="1"/>
        <v>3.4830899999999998E-2</v>
      </c>
    </row>
    <row r="32" spans="1:28" s="4" customFormat="1" ht="13" x14ac:dyDescent="0.3">
      <c r="A32" s="5">
        <v>2316</v>
      </c>
      <c r="B32" s="6" t="s">
        <v>116</v>
      </c>
      <c r="C32" s="7">
        <v>43668</v>
      </c>
      <c r="D32" s="8">
        <v>67</v>
      </c>
      <c r="E32" s="9" t="s">
        <v>58</v>
      </c>
      <c r="F32" s="8" t="s">
        <v>129</v>
      </c>
      <c r="G32" s="11" t="s">
        <v>130</v>
      </c>
      <c r="H32" s="8" t="str">
        <f>"000068"</f>
        <v>000068</v>
      </c>
      <c r="I32" s="7">
        <v>43535</v>
      </c>
      <c r="J32" s="8" t="str">
        <f>"000116"</f>
        <v>000116</v>
      </c>
      <c r="K32" s="7">
        <v>43766</v>
      </c>
      <c r="L32" s="8" t="str">
        <f>"000116"</f>
        <v>000116</v>
      </c>
      <c r="M32" s="7">
        <v>43766</v>
      </c>
      <c r="N32" s="8">
        <v>17</v>
      </c>
      <c r="O32" s="8" t="str">
        <f>""</f>
        <v/>
      </c>
      <c r="P32" s="8"/>
      <c r="Q32" s="12">
        <v>4.3890700000000002</v>
      </c>
      <c r="R32" s="12">
        <v>0.39939999999999998</v>
      </c>
      <c r="S32" s="12">
        <v>3.9896699999999998</v>
      </c>
      <c r="T32" s="8">
        <v>120</v>
      </c>
      <c r="U32" s="7">
        <v>43668</v>
      </c>
      <c r="V32" s="8">
        <v>9945614169</v>
      </c>
      <c r="W32" s="11" t="s">
        <v>131</v>
      </c>
      <c r="X32" s="8" t="s">
        <v>132</v>
      </c>
      <c r="Y32" s="11" t="s">
        <v>133</v>
      </c>
      <c r="Z32" s="8" t="s">
        <v>134</v>
      </c>
      <c r="AA32" s="11" t="s">
        <v>135</v>
      </c>
      <c r="AB32" s="12">
        <f t="shared" si="1"/>
        <v>4.3890700000000005E-2</v>
      </c>
    </row>
    <row r="33" spans="1:28" s="4" customFormat="1" ht="13" x14ac:dyDescent="0.3">
      <c r="A33" s="5">
        <v>2317</v>
      </c>
      <c r="B33" s="6" t="s">
        <v>116</v>
      </c>
      <c r="C33" s="7">
        <v>43668</v>
      </c>
      <c r="D33" s="8">
        <v>67</v>
      </c>
      <c r="E33" s="9" t="s">
        <v>58</v>
      </c>
      <c r="F33" s="8" t="s">
        <v>136</v>
      </c>
      <c r="G33" s="11" t="s">
        <v>137</v>
      </c>
      <c r="H33" s="8" t="str">
        <f>"000517"</f>
        <v>000517</v>
      </c>
      <c r="I33" s="7">
        <v>42094</v>
      </c>
      <c r="J33" s="8" t="str">
        <f>"000373"</f>
        <v>000373</v>
      </c>
      <c r="K33" s="7">
        <v>42816</v>
      </c>
      <c r="L33" s="8" t="str">
        <f>"001017"</f>
        <v>001017</v>
      </c>
      <c r="M33" s="7">
        <v>42824</v>
      </c>
      <c r="N33" s="8">
        <v>15</v>
      </c>
      <c r="O33" s="8" t="str">
        <f>"003726"</f>
        <v>003726</v>
      </c>
      <c r="P33" s="7">
        <v>43664</v>
      </c>
      <c r="Q33" s="12">
        <v>14.719860000000001</v>
      </c>
      <c r="R33" s="12">
        <v>2.2112400000000001</v>
      </c>
      <c r="S33" s="12">
        <v>12.508620000000001</v>
      </c>
      <c r="T33" s="8">
        <v>121</v>
      </c>
      <c r="U33" s="7">
        <v>43668</v>
      </c>
      <c r="V33" s="8">
        <v>9900333496</v>
      </c>
      <c r="W33" s="11" t="s">
        <v>44</v>
      </c>
      <c r="X33" s="8" t="s">
        <v>50</v>
      </c>
      <c r="Y33" s="11" t="s">
        <v>51</v>
      </c>
      <c r="Z33" s="8" t="s">
        <v>62</v>
      </c>
      <c r="AA33" s="11" t="s">
        <v>63</v>
      </c>
      <c r="AB33" s="12">
        <f t="shared" si="1"/>
        <v>0.14719860000000001</v>
      </c>
    </row>
    <row r="34" spans="1:28" s="4" customFormat="1" ht="13" x14ac:dyDescent="0.3">
      <c r="A34" s="5">
        <v>2318</v>
      </c>
      <c r="B34" s="6" t="s">
        <v>116</v>
      </c>
      <c r="C34" s="7">
        <v>43671</v>
      </c>
      <c r="D34" s="8">
        <v>67</v>
      </c>
      <c r="E34" s="9" t="s">
        <v>58</v>
      </c>
      <c r="F34" s="8" t="s">
        <v>138</v>
      </c>
      <c r="G34" s="11" t="s">
        <v>139</v>
      </c>
      <c r="H34" s="8" t="str">
        <f>"000441"</f>
        <v>000441</v>
      </c>
      <c r="I34" s="7">
        <v>43542</v>
      </c>
      <c r="J34" s="8" t="str">
        <f>"000062"</f>
        <v>000062</v>
      </c>
      <c r="K34" s="7">
        <v>43654</v>
      </c>
      <c r="L34" s="8" t="str">
        <f>"000162"</f>
        <v>000162</v>
      </c>
      <c r="M34" s="7">
        <v>43654</v>
      </c>
      <c r="N34" s="8">
        <v>19</v>
      </c>
      <c r="O34" s="8" t="str">
        <f>"003881"</f>
        <v>003881</v>
      </c>
      <c r="P34" s="7">
        <v>43668</v>
      </c>
      <c r="Q34" s="12">
        <v>39.652720000000002</v>
      </c>
      <c r="R34" s="12">
        <v>4.6992399999999996</v>
      </c>
      <c r="S34" s="12">
        <v>34.953479999999999</v>
      </c>
      <c r="T34" s="8">
        <v>126</v>
      </c>
      <c r="U34" s="7">
        <v>43671</v>
      </c>
      <c r="V34" s="8">
        <v>9900333496</v>
      </c>
      <c r="W34" s="11" t="s">
        <v>44</v>
      </c>
      <c r="X34" s="8" t="s">
        <v>37</v>
      </c>
      <c r="Y34" s="11" t="s">
        <v>38</v>
      </c>
      <c r="Z34" s="8" t="s">
        <v>62</v>
      </c>
      <c r="AA34" s="11" t="s">
        <v>63</v>
      </c>
      <c r="AB34" s="12">
        <f t="shared" si="1"/>
        <v>0.39652720000000002</v>
      </c>
    </row>
    <row r="35" spans="1:28" s="4" customFormat="1" ht="13" x14ac:dyDescent="0.3">
      <c r="A35" s="5">
        <v>2319</v>
      </c>
      <c r="B35" s="6" t="s">
        <v>116</v>
      </c>
      <c r="C35" s="7">
        <v>43677</v>
      </c>
      <c r="D35" s="8">
        <v>67</v>
      </c>
      <c r="E35" s="9" t="s">
        <v>58</v>
      </c>
      <c r="F35" s="8" t="s">
        <v>140</v>
      </c>
      <c r="G35" s="11" t="s">
        <v>141</v>
      </c>
      <c r="H35" s="8" t="str">
        <f>"000103"</f>
        <v>000103</v>
      </c>
      <c r="I35" s="7">
        <v>42913</v>
      </c>
      <c r="J35" s="8" t="str">
        <f>"000092"</f>
        <v>000092</v>
      </c>
      <c r="K35" s="7">
        <v>43152</v>
      </c>
      <c r="L35" s="8" t="str">
        <f>"000225"</f>
        <v>000225</v>
      </c>
      <c r="M35" s="7">
        <v>43157</v>
      </c>
      <c r="N35" s="8">
        <v>17</v>
      </c>
      <c r="O35" s="8" t="str">
        <f>"004067"</f>
        <v>004067</v>
      </c>
      <c r="P35" s="7">
        <v>43672</v>
      </c>
      <c r="Q35" s="12">
        <v>19.789069999999999</v>
      </c>
      <c r="R35" s="12">
        <v>2.3249599999999999</v>
      </c>
      <c r="S35" s="12">
        <v>17.464110000000002</v>
      </c>
      <c r="T35" s="8">
        <v>135</v>
      </c>
      <c r="U35" s="7">
        <v>43677</v>
      </c>
      <c r="V35" s="8">
        <v>9900333496</v>
      </c>
      <c r="W35" s="11" t="s">
        <v>44</v>
      </c>
      <c r="X35" s="8" t="s">
        <v>50</v>
      </c>
      <c r="Y35" s="11" t="s">
        <v>51</v>
      </c>
      <c r="Z35" s="8" t="s">
        <v>62</v>
      </c>
      <c r="AA35" s="11" t="s">
        <v>63</v>
      </c>
      <c r="AB35" s="12">
        <f t="shared" si="1"/>
        <v>0.19789069999999997</v>
      </c>
    </row>
    <row r="36" spans="1:28" s="4" customFormat="1" ht="13" x14ac:dyDescent="0.3">
      <c r="A36" s="5">
        <v>2320</v>
      </c>
      <c r="B36" s="6" t="s">
        <v>142</v>
      </c>
      <c r="C36" s="7">
        <v>43685</v>
      </c>
      <c r="D36" s="8">
        <v>67</v>
      </c>
      <c r="E36" s="9" t="s">
        <v>58</v>
      </c>
      <c r="F36" s="8" t="s">
        <v>143</v>
      </c>
      <c r="G36" s="11" t="s">
        <v>144</v>
      </c>
      <c r="H36" s="8" t="str">
        <f>"000032"</f>
        <v>000032</v>
      </c>
      <c r="I36" s="7">
        <v>43161</v>
      </c>
      <c r="J36" s="8" t="str">
        <f>"000068"</f>
        <v>000068</v>
      </c>
      <c r="K36" s="7">
        <v>43312</v>
      </c>
      <c r="L36" s="8" t="str">
        <f>"000068"</f>
        <v>000068</v>
      </c>
      <c r="M36" s="7">
        <v>43312</v>
      </c>
      <c r="N36" s="8">
        <v>17</v>
      </c>
      <c r="O36" s="8" t="str">
        <f>"004253"</f>
        <v>004253</v>
      </c>
      <c r="P36" s="7">
        <v>43680</v>
      </c>
      <c r="Q36" s="12">
        <v>28.246420000000001</v>
      </c>
      <c r="R36" s="12">
        <v>2.2881</v>
      </c>
      <c r="S36" s="12">
        <v>25.958320000000001</v>
      </c>
      <c r="T36" s="8">
        <v>145</v>
      </c>
      <c r="U36" s="7">
        <v>43685</v>
      </c>
      <c r="V36" s="8">
        <v>9845339329</v>
      </c>
      <c r="W36" s="11" t="s">
        <v>145</v>
      </c>
      <c r="X36" s="8" t="s">
        <v>146</v>
      </c>
      <c r="Y36" s="11" t="s">
        <v>147</v>
      </c>
      <c r="Z36" s="8" t="s">
        <v>134</v>
      </c>
      <c r="AA36" s="11" t="s">
        <v>135</v>
      </c>
      <c r="AB36" s="12">
        <f t="shared" si="1"/>
        <v>0.2824642</v>
      </c>
    </row>
    <row r="37" spans="1:28" s="4" customFormat="1" ht="13" x14ac:dyDescent="0.3">
      <c r="A37" s="5">
        <v>2321</v>
      </c>
      <c r="B37" s="6" t="s">
        <v>142</v>
      </c>
      <c r="C37" s="7">
        <v>43696</v>
      </c>
      <c r="D37" s="8">
        <v>67</v>
      </c>
      <c r="E37" s="9" t="s">
        <v>58</v>
      </c>
      <c r="F37" s="8" t="s">
        <v>148</v>
      </c>
      <c r="G37" s="11" t="s">
        <v>149</v>
      </c>
      <c r="H37" s="8" t="str">
        <f>"000033"</f>
        <v>000033</v>
      </c>
      <c r="I37" s="7">
        <v>42934</v>
      </c>
      <c r="J37" s="8" t="str">
        <f>"000097"</f>
        <v>000097</v>
      </c>
      <c r="K37" s="7">
        <v>43154</v>
      </c>
      <c r="L37" s="8" t="str">
        <f>"000227"</f>
        <v>000227</v>
      </c>
      <c r="M37" s="7">
        <v>43161</v>
      </c>
      <c r="N37" s="8">
        <v>17</v>
      </c>
      <c r="O37" s="8" t="str">
        <f>"004450"</f>
        <v>004450</v>
      </c>
      <c r="P37" s="7">
        <v>43691</v>
      </c>
      <c r="Q37" s="12">
        <v>9.9598499999999994</v>
      </c>
      <c r="R37" s="12">
        <v>0.48332000000000003</v>
      </c>
      <c r="S37" s="12">
        <v>9.4765300000000003</v>
      </c>
      <c r="T37" s="8">
        <v>158</v>
      </c>
      <c r="U37" s="7">
        <v>43696</v>
      </c>
      <c r="V37" s="8">
        <v>0</v>
      </c>
      <c r="W37" s="11" t="s">
        <v>150</v>
      </c>
      <c r="X37" s="8" t="s">
        <v>32</v>
      </c>
      <c r="Y37" s="11" t="s">
        <v>33</v>
      </c>
      <c r="Z37" s="8" t="s">
        <v>62</v>
      </c>
      <c r="AA37" s="11" t="s">
        <v>63</v>
      </c>
      <c r="AB37" s="12">
        <f t="shared" si="1"/>
        <v>9.9598499999999993E-2</v>
      </c>
    </row>
    <row r="38" spans="1:28" s="4" customFormat="1" ht="13" x14ac:dyDescent="0.3">
      <c r="A38" s="5">
        <v>2322</v>
      </c>
      <c r="B38" s="6" t="s">
        <v>142</v>
      </c>
      <c r="C38" s="7">
        <v>43697</v>
      </c>
      <c r="D38" s="8">
        <v>67</v>
      </c>
      <c r="E38" s="9" t="s">
        <v>58</v>
      </c>
      <c r="F38" s="8" t="s">
        <v>151</v>
      </c>
      <c r="G38" s="11" t="s">
        <v>152</v>
      </c>
      <c r="H38" s="8" t="str">
        <f>"000026"</f>
        <v>000026</v>
      </c>
      <c r="I38" s="7">
        <v>41246</v>
      </c>
      <c r="J38" s="8" t="str">
        <f>"000151"</f>
        <v>000151</v>
      </c>
      <c r="K38" s="7">
        <v>43521</v>
      </c>
      <c r="L38" s="8" t="str">
        <f>"000151"</f>
        <v>000151</v>
      </c>
      <c r="M38" s="7">
        <v>43521</v>
      </c>
      <c r="N38" s="8">
        <v>11</v>
      </c>
      <c r="O38" s="8" t="str">
        <f>"004576"</f>
        <v>004576</v>
      </c>
      <c r="P38" s="7">
        <v>43694</v>
      </c>
      <c r="Q38" s="12">
        <v>20.44716</v>
      </c>
      <c r="R38" s="12">
        <v>1.0427900000000001</v>
      </c>
      <c r="S38" s="12">
        <v>19.40437</v>
      </c>
      <c r="T38" s="8">
        <v>160</v>
      </c>
      <c r="U38" s="7">
        <v>43697</v>
      </c>
      <c r="V38" s="8">
        <v>9686660565</v>
      </c>
      <c r="W38" s="11" t="s">
        <v>153</v>
      </c>
      <c r="X38" s="8" t="s">
        <v>154</v>
      </c>
      <c r="Y38" s="11" t="s">
        <v>155</v>
      </c>
      <c r="Z38" s="8" t="s">
        <v>134</v>
      </c>
      <c r="AA38" s="11" t="s">
        <v>135</v>
      </c>
      <c r="AB38" s="12">
        <f t="shared" si="1"/>
        <v>0.2044716</v>
      </c>
    </row>
    <row r="39" spans="1:28" s="4" customFormat="1" ht="13" x14ac:dyDescent="0.3">
      <c r="A39" s="5">
        <v>2323</v>
      </c>
      <c r="B39" s="6" t="s">
        <v>142</v>
      </c>
      <c r="C39" s="7">
        <v>43705</v>
      </c>
      <c r="D39" s="8">
        <v>67</v>
      </c>
      <c r="E39" s="9" t="s">
        <v>58</v>
      </c>
      <c r="F39" s="8" t="s">
        <v>156</v>
      </c>
      <c r="G39" s="11" t="s">
        <v>157</v>
      </c>
      <c r="H39" s="8" t="str">
        <f>"000036"</f>
        <v>000036</v>
      </c>
      <c r="I39" s="7">
        <v>43664</v>
      </c>
      <c r="J39" s="8" t="str">
        <f>"000073"</f>
        <v>000073</v>
      </c>
      <c r="K39" s="7">
        <v>43672</v>
      </c>
      <c r="L39" s="8" t="str">
        <f>"000194"</f>
        <v>000194</v>
      </c>
      <c r="M39" s="7">
        <v>43675</v>
      </c>
      <c r="N39" s="8">
        <v>19</v>
      </c>
      <c r="O39" s="8" t="str">
        <f>"004726"</f>
        <v>004726</v>
      </c>
      <c r="P39" s="7">
        <v>43699</v>
      </c>
      <c r="Q39" s="12">
        <v>20.953980000000001</v>
      </c>
      <c r="R39" s="12">
        <v>2.4270800000000001</v>
      </c>
      <c r="S39" s="12">
        <v>18.526900000000001</v>
      </c>
      <c r="T39" s="8">
        <v>168</v>
      </c>
      <c r="U39" s="7">
        <v>43705</v>
      </c>
      <c r="V39" s="8">
        <v>0</v>
      </c>
      <c r="W39" s="11" t="s">
        <v>158</v>
      </c>
      <c r="X39" s="8" t="s">
        <v>37</v>
      </c>
      <c r="Y39" s="11" t="s">
        <v>38</v>
      </c>
      <c r="Z39" s="8" t="s">
        <v>62</v>
      </c>
      <c r="AA39" s="11" t="s">
        <v>63</v>
      </c>
      <c r="AB39" s="12">
        <f t="shared" si="1"/>
        <v>0.20953980000000003</v>
      </c>
    </row>
    <row r="40" spans="1:28" s="4" customFormat="1" ht="13" x14ac:dyDescent="0.3">
      <c r="A40" s="5">
        <v>2324</v>
      </c>
      <c r="B40" s="6" t="s">
        <v>142</v>
      </c>
      <c r="C40" s="7">
        <v>43705</v>
      </c>
      <c r="D40" s="8">
        <v>67</v>
      </c>
      <c r="E40" s="9" t="s">
        <v>58</v>
      </c>
      <c r="F40" s="8" t="s">
        <v>159</v>
      </c>
      <c r="G40" s="11" t="s">
        <v>160</v>
      </c>
      <c r="H40" s="8" t="str">
        <f>"000339"</f>
        <v>000339</v>
      </c>
      <c r="I40" s="7">
        <v>43531</v>
      </c>
      <c r="J40" s="8" t="str">
        <f>"000074"</f>
        <v>000074</v>
      </c>
      <c r="K40" s="7">
        <v>43675</v>
      </c>
      <c r="L40" s="8" t="str">
        <f>"000197"</f>
        <v>000197</v>
      </c>
      <c r="M40" s="7">
        <v>43676</v>
      </c>
      <c r="N40" s="8">
        <v>19</v>
      </c>
      <c r="O40" s="8" t="str">
        <f>"004782"</f>
        <v>004782</v>
      </c>
      <c r="P40" s="7">
        <v>43704</v>
      </c>
      <c r="Q40" s="12">
        <v>53.437249999999999</v>
      </c>
      <c r="R40" s="12">
        <v>6.2088000000000001</v>
      </c>
      <c r="S40" s="12">
        <v>47.228450000000002</v>
      </c>
      <c r="T40" s="8">
        <v>170</v>
      </c>
      <c r="U40" s="7">
        <v>43705</v>
      </c>
      <c r="V40" s="8">
        <v>9900333496</v>
      </c>
      <c r="W40" s="11" t="s">
        <v>44</v>
      </c>
      <c r="X40" s="8" t="s">
        <v>37</v>
      </c>
      <c r="Y40" s="11" t="s">
        <v>38</v>
      </c>
      <c r="Z40" s="8" t="s">
        <v>62</v>
      </c>
      <c r="AA40" s="11" t="s">
        <v>63</v>
      </c>
      <c r="AB40" s="12">
        <f t="shared" si="1"/>
        <v>0.53437250000000003</v>
      </c>
    </row>
    <row r="41" spans="1:28" s="4" customFormat="1" ht="13" x14ac:dyDescent="0.3">
      <c r="A41" s="5">
        <v>2325</v>
      </c>
      <c r="B41" s="6" t="s">
        <v>142</v>
      </c>
      <c r="C41" s="7">
        <v>43705</v>
      </c>
      <c r="D41" s="8">
        <v>67</v>
      </c>
      <c r="E41" s="9" t="s">
        <v>58</v>
      </c>
      <c r="F41" s="8" t="s">
        <v>161</v>
      </c>
      <c r="G41" s="11" t="s">
        <v>162</v>
      </c>
      <c r="H41" s="8" t="str">
        <f>"000270"</f>
        <v>000270</v>
      </c>
      <c r="I41" s="7">
        <v>43521</v>
      </c>
      <c r="J41" s="8" t="str">
        <f>"000032"</f>
        <v>000032</v>
      </c>
      <c r="K41" s="7">
        <v>43607</v>
      </c>
      <c r="L41" s="8" t="str">
        <f>"000085"</f>
        <v>000085</v>
      </c>
      <c r="M41" s="7">
        <v>43608</v>
      </c>
      <c r="N41" s="8">
        <v>19</v>
      </c>
      <c r="O41" s="8" t="str">
        <f>"004799"</f>
        <v>004799</v>
      </c>
      <c r="P41" s="7">
        <v>43704</v>
      </c>
      <c r="Q41" s="12">
        <v>98.193150000000003</v>
      </c>
      <c r="R41" s="12">
        <v>12.15197</v>
      </c>
      <c r="S41" s="12">
        <v>86.041179999999997</v>
      </c>
      <c r="T41" s="8">
        <v>170</v>
      </c>
      <c r="U41" s="7">
        <v>43705</v>
      </c>
      <c r="V41" s="8">
        <v>9900333496</v>
      </c>
      <c r="W41" s="11" t="s">
        <v>44</v>
      </c>
      <c r="X41" s="8" t="s">
        <v>37</v>
      </c>
      <c r="Y41" s="11" t="s">
        <v>38</v>
      </c>
      <c r="Z41" s="8" t="s">
        <v>62</v>
      </c>
      <c r="AA41" s="11" t="s">
        <v>63</v>
      </c>
      <c r="AB41" s="12">
        <f t="shared" si="1"/>
        <v>0.98193150000000007</v>
      </c>
    </row>
    <row r="42" spans="1:28" s="4" customFormat="1" ht="13" x14ac:dyDescent="0.3">
      <c r="A42" s="5">
        <v>2326</v>
      </c>
      <c r="B42" s="6" t="s">
        <v>163</v>
      </c>
      <c r="C42" s="7">
        <v>43719</v>
      </c>
      <c r="D42" s="8">
        <v>67</v>
      </c>
      <c r="E42" s="9" t="s">
        <v>58</v>
      </c>
      <c r="F42" s="8" t="s">
        <v>164</v>
      </c>
      <c r="G42" s="11" t="s">
        <v>165</v>
      </c>
      <c r="H42" s="8" t="str">
        <f>"000402"</f>
        <v>000402</v>
      </c>
      <c r="I42" s="7">
        <v>43185</v>
      </c>
      <c r="J42" s="8" t="str">
        <f>"000101"</f>
        <v>000101</v>
      </c>
      <c r="K42" s="7">
        <v>43319</v>
      </c>
      <c r="L42" s="8" t="str">
        <f>"000221"</f>
        <v>000221</v>
      </c>
      <c r="M42" s="7">
        <v>43319</v>
      </c>
      <c r="N42" s="8">
        <v>18</v>
      </c>
      <c r="O42" s="8" t="str">
        <f>"004905"</f>
        <v>004905</v>
      </c>
      <c r="P42" s="7">
        <v>43711</v>
      </c>
      <c r="Q42" s="12">
        <v>29.977340000000002</v>
      </c>
      <c r="R42" s="12">
        <v>3.5591200000000001</v>
      </c>
      <c r="S42" s="12">
        <v>26.418220000000002</v>
      </c>
      <c r="T42" s="8">
        <v>180</v>
      </c>
      <c r="U42" s="7">
        <v>43719</v>
      </c>
      <c r="V42" s="8">
        <v>9900333496</v>
      </c>
      <c r="W42" s="11" t="s">
        <v>44</v>
      </c>
      <c r="X42" s="8" t="s">
        <v>47</v>
      </c>
      <c r="Y42" s="11" t="s">
        <v>48</v>
      </c>
      <c r="Z42" s="8" t="s">
        <v>62</v>
      </c>
      <c r="AA42" s="11" t="s">
        <v>63</v>
      </c>
      <c r="AB42" s="12">
        <f t="shared" si="1"/>
        <v>0.29977340000000002</v>
      </c>
    </row>
    <row r="43" spans="1:28" s="4" customFormat="1" ht="13" x14ac:dyDescent="0.3">
      <c r="A43" s="5">
        <v>2327</v>
      </c>
      <c r="B43" s="6" t="s">
        <v>163</v>
      </c>
      <c r="C43" s="7">
        <v>43729</v>
      </c>
      <c r="D43" s="8">
        <v>67</v>
      </c>
      <c r="E43" s="9" t="s">
        <v>58</v>
      </c>
      <c r="F43" s="8" t="s">
        <v>166</v>
      </c>
      <c r="G43" s="11" t="s">
        <v>167</v>
      </c>
      <c r="H43" s="8" t="str">
        <f>"000011"</f>
        <v>000011</v>
      </c>
      <c r="I43" s="7">
        <v>42117</v>
      </c>
      <c r="J43" s="8" t="str">
        <f>"000230"</f>
        <v>000230</v>
      </c>
      <c r="K43" s="7">
        <v>42632</v>
      </c>
      <c r="L43" s="8" t="str">
        <f>"000701"</f>
        <v>000701</v>
      </c>
      <c r="M43" s="7">
        <v>42633</v>
      </c>
      <c r="N43" s="8">
        <v>15</v>
      </c>
      <c r="O43" s="8" t="str">
        <f>"002391"</f>
        <v>002391</v>
      </c>
      <c r="P43" s="7">
        <v>43262</v>
      </c>
      <c r="Q43" s="12">
        <v>15.31612</v>
      </c>
      <c r="R43" s="12">
        <v>1.9225000000000001</v>
      </c>
      <c r="S43" s="12">
        <v>13.39362</v>
      </c>
      <c r="T43" s="8">
        <v>194</v>
      </c>
      <c r="U43" s="7">
        <v>43729</v>
      </c>
      <c r="V43" s="8">
        <v>9900333496</v>
      </c>
      <c r="W43" s="11" t="s">
        <v>44</v>
      </c>
      <c r="X43" s="8" t="s">
        <v>42</v>
      </c>
      <c r="Y43" s="11" t="s">
        <v>43</v>
      </c>
      <c r="Z43" s="8" t="s">
        <v>62</v>
      </c>
      <c r="AA43" s="11" t="s">
        <v>63</v>
      </c>
      <c r="AB43" s="12">
        <f t="shared" si="1"/>
        <v>0.1531612</v>
      </c>
    </row>
    <row r="44" spans="1:28" s="4" customFormat="1" ht="13" x14ac:dyDescent="0.3">
      <c r="A44" s="5">
        <v>2328</v>
      </c>
      <c r="B44" s="6" t="s">
        <v>163</v>
      </c>
      <c r="C44" s="7">
        <v>43729</v>
      </c>
      <c r="D44" s="8">
        <v>67</v>
      </c>
      <c r="E44" s="9" t="s">
        <v>58</v>
      </c>
      <c r="F44" s="8" t="s">
        <v>168</v>
      </c>
      <c r="G44" s="11" t="s">
        <v>169</v>
      </c>
      <c r="H44" s="8" t="str">
        <f>"000516"</f>
        <v>000516</v>
      </c>
      <c r="I44" s="7">
        <v>42094</v>
      </c>
      <c r="J44" s="8" t="str">
        <f>"000077"</f>
        <v>000077</v>
      </c>
      <c r="K44" s="7">
        <v>42551</v>
      </c>
      <c r="L44" s="8" t="str">
        <f>"000311"</f>
        <v>000311</v>
      </c>
      <c r="M44" s="7">
        <v>42563</v>
      </c>
      <c r="N44" s="8">
        <v>15</v>
      </c>
      <c r="O44" s="8" t="str">
        <f>"005140"</f>
        <v>005140</v>
      </c>
      <c r="P44" s="7">
        <v>43725</v>
      </c>
      <c r="Q44" s="12">
        <v>19.81804</v>
      </c>
      <c r="R44" s="12">
        <v>2.6909800000000001</v>
      </c>
      <c r="S44" s="12">
        <v>17.12706</v>
      </c>
      <c r="T44" s="8">
        <v>196</v>
      </c>
      <c r="U44" s="7">
        <v>43729</v>
      </c>
      <c r="V44" s="8">
        <v>9900333496</v>
      </c>
      <c r="W44" s="11" t="s">
        <v>44</v>
      </c>
      <c r="X44" s="8" t="s">
        <v>50</v>
      </c>
      <c r="Y44" s="11" t="s">
        <v>51</v>
      </c>
      <c r="Z44" s="8" t="s">
        <v>62</v>
      </c>
      <c r="AA44" s="11" t="s">
        <v>63</v>
      </c>
      <c r="AB44" s="12">
        <f t="shared" si="1"/>
        <v>0.19818040000000001</v>
      </c>
    </row>
    <row r="45" spans="1:28" s="4" customFormat="1" ht="13" x14ac:dyDescent="0.3">
      <c r="A45" s="5">
        <v>2329</v>
      </c>
      <c r="B45" s="6" t="s">
        <v>163</v>
      </c>
      <c r="C45" s="7">
        <v>43732</v>
      </c>
      <c r="D45" s="8">
        <v>67</v>
      </c>
      <c r="E45" s="9" t="s">
        <v>58</v>
      </c>
      <c r="F45" s="8" t="s">
        <v>170</v>
      </c>
      <c r="G45" s="11" t="s">
        <v>171</v>
      </c>
      <c r="H45" s="8" t="str">
        <f>"000395"</f>
        <v>000395</v>
      </c>
      <c r="I45" s="7">
        <v>43185</v>
      </c>
      <c r="J45" s="8" t="str">
        <f>"000015"</f>
        <v>000015</v>
      </c>
      <c r="K45" s="7">
        <v>43210</v>
      </c>
      <c r="L45" s="8" t="str">
        <f>"000035"</f>
        <v>000035</v>
      </c>
      <c r="M45" s="7">
        <v>43210</v>
      </c>
      <c r="N45" s="8">
        <v>18</v>
      </c>
      <c r="O45" s="8" t="str">
        <f>"005279"</f>
        <v>005279</v>
      </c>
      <c r="P45" s="7">
        <v>43728</v>
      </c>
      <c r="Q45" s="12">
        <v>19.952839999999998</v>
      </c>
      <c r="R45" s="12">
        <v>2.2941199999999999</v>
      </c>
      <c r="S45" s="12">
        <v>17.658719999999999</v>
      </c>
      <c r="T45" s="8">
        <v>199</v>
      </c>
      <c r="U45" s="7">
        <v>43732</v>
      </c>
      <c r="V45" s="8">
        <v>9900333496</v>
      </c>
      <c r="W45" s="11" t="s">
        <v>44</v>
      </c>
      <c r="X45" s="8" t="s">
        <v>47</v>
      </c>
      <c r="Y45" s="11" t="s">
        <v>48</v>
      </c>
      <c r="Z45" s="8" t="s">
        <v>62</v>
      </c>
      <c r="AA45" s="11" t="s">
        <v>63</v>
      </c>
      <c r="AB45" s="12">
        <f t="shared" si="1"/>
        <v>0.19952839999999999</v>
      </c>
    </row>
    <row r="46" spans="1:28" s="4" customFormat="1" ht="13" x14ac:dyDescent="0.3">
      <c r="A46" s="5">
        <v>2330</v>
      </c>
      <c r="B46" s="6" t="s">
        <v>163</v>
      </c>
      <c r="C46" s="7">
        <v>43734</v>
      </c>
      <c r="D46" s="8">
        <v>67</v>
      </c>
      <c r="E46" s="9" t="s">
        <v>58</v>
      </c>
      <c r="F46" s="8" t="s">
        <v>172</v>
      </c>
      <c r="G46" s="11" t="s">
        <v>173</v>
      </c>
      <c r="H46" s="8" t="str">
        <f>"444444"</f>
        <v>444444</v>
      </c>
      <c r="I46" s="7">
        <v>42763</v>
      </c>
      <c r="J46" s="8" t="str">
        <f>"000114"</f>
        <v>000114</v>
      </c>
      <c r="K46" s="7">
        <v>43342</v>
      </c>
      <c r="L46" s="8" t="str">
        <f>"000259"</f>
        <v>000259</v>
      </c>
      <c r="M46" s="7">
        <v>43343</v>
      </c>
      <c r="N46" s="8">
        <v>16</v>
      </c>
      <c r="O46" s="8" t="str">
        <f>"006624"</f>
        <v>006624</v>
      </c>
      <c r="P46" s="7">
        <v>43385</v>
      </c>
      <c r="Q46" s="12">
        <v>0.24795</v>
      </c>
      <c r="R46" s="12">
        <v>2.4799999999999999E-2</v>
      </c>
      <c r="S46" s="12">
        <v>0.22314999999999999</v>
      </c>
      <c r="T46" s="8">
        <v>202</v>
      </c>
      <c r="U46" s="7">
        <v>43734</v>
      </c>
      <c r="V46" s="8">
        <v>9538136111</v>
      </c>
      <c r="W46" s="11" t="s">
        <v>174</v>
      </c>
      <c r="X46" s="8" t="s">
        <v>35</v>
      </c>
      <c r="Y46" s="11" t="s">
        <v>36</v>
      </c>
      <c r="Z46" s="8" t="s">
        <v>62</v>
      </c>
      <c r="AA46" s="11" t="s">
        <v>63</v>
      </c>
      <c r="AB46" s="12">
        <f t="shared" si="1"/>
        <v>2.4794999999999999E-3</v>
      </c>
    </row>
    <row r="47" spans="1:28" s="4" customFormat="1" ht="13" x14ac:dyDescent="0.3">
      <c r="A47" s="5">
        <v>2331</v>
      </c>
      <c r="B47" s="6" t="s">
        <v>175</v>
      </c>
      <c r="C47" s="7">
        <v>43741</v>
      </c>
      <c r="D47" s="5">
        <v>67</v>
      </c>
      <c r="E47" s="9" t="s">
        <v>58</v>
      </c>
      <c r="F47" s="8" t="s">
        <v>159</v>
      </c>
      <c r="G47" s="9" t="s">
        <v>160</v>
      </c>
      <c r="H47" s="8" t="str">
        <f>"000339"</f>
        <v>000339</v>
      </c>
      <c r="I47" s="7">
        <v>43531</v>
      </c>
      <c r="J47" s="8" t="str">
        <f>"000074"</f>
        <v>000074</v>
      </c>
      <c r="K47" s="7">
        <v>43675</v>
      </c>
      <c r="L47" s="8" t="str">
        <f>"000197"</f>
        <v>000197</v>
      </c>
      <c r="M47" s="7">
        <v>43676</v>
      </c>
      <c r="N47" s="8">
        <v>19</v>
      </c>
      <c r="O47" s="8" t="str">
        <f>"004782"</f>
        <v>004782</v>
      </c>
      <c r="P47" s="7">
        <v>43704</v>
      </c>
      <c r="Q47" s="10">
        <v>4.33</v>
      </c>
      <c r="R47" s="10">
        <v>0.433</v>
      </c>
      <c r="S47" s="10">
        <v>3.8969999999999998</v>
      </c>
      <c r="T47" s="8">
        <v>13</v>
      </c>
      <c r="U47" s="7">
        <v>43741</v>
      </c>
      <c r="V47" s="8">
        <v>8618239904</v>
      </c>
      <c r="W47" s="9" t="s">
        <v>176</v>
      </c>
      <c r="X47" s="8" t="s">
        <v>37</v>
      </c>
      <c r="Y47" s="9" t="s">
        <v>38</v>
      </c>
      <c r="Z47" s="8" t="s">
        <v>62</v>
      </c>
      <c r="AA47" s="9" t="s">
        <v>63</v>
      </c>
      <c r="AB47" s="10">
        <v>4.3299999999999998E-2</v>
      </c>
    </row>
    <row r="48" spans="1:28" s="4" customFormat="1" ht="13" x14ac:dyDescent="0.3">
      <c r="A48" s="5">
        <v>2332</v>
      </c>
      <c r="B48" s="6" t="s">
        <v>175</v>
      </c>
      <c r="C48" s="7">
        <v>43741</v>
      </c>
      <c r="D48" s="5">
        <v>67</v>
      </c>
      <c r="E48" s="9" t="s">
        <v>58</v>
      </c>
      <c r="F48" s="8" t="s">
        <v>177</v>
      </c>
      <c r="G48" s="9" t="s">
        <v>178</v>
      </c>
      <c r="H48" s="8" t="str">
        <f>"000269"</f>
        <v>000269</v>
      </c>
      <c r="I48" s="7">
        <v>43521</v>
      </c>
      <c r="J48" s="8" t="str">
        <f>"000063"</f>
        <v>000063</v>
      </c>
      <c r="K48" s="7">
        <v>43654</v>
      </c>
      <c r="L48" s="8" t="str">
        <f>"000161"</f>
        <v>000161</v>
      </c>
      <c r="M48" s="7">
        <v>43654</v>
      </c>
      <c r="N48" s="8">
        <v>19</v>
      </c>
      <c r="O48" s="8" t="str">
        <f>"005443"</f>
        <v>005443</v>
      </c>
      <c r="P48" s="7">
        <v>43734</v>
      </c>
      <c r="Q48" s="10">
        <v>2.1779999999999999</v>
      </c>
      <c r="R48" s="10">
        <v>0.21779999999999999</v>
      </c>
      <c r="S48" s="10">
        <v>1.9601999999999999</v>
      </c>
      <c r="T48" s="8">
        <v>13</v>
      </c>
      <c r="U48" s="7">
        <v>43741</v>
      </c>
      <c r="V48" s="8">
        <v>9538136111</v>
      </c>
      <c r="W48" s="9" t="s">
        <v>179</v>
      </c>
      <c r="X48" s="8" t="s">
        <v>37</v>
      </c>
      <c r="Y48" s="9" t="s">
        <v>38</v>
      </c>
      <c r="Z48" s="8" t="s">
        <v>62</v>
      </c>
      <c r="AA48" s="9" t="s">
        <v>63</v>
      </c>
      <c r="AB48" s="10">
        <v>2.1780000000000001E-2</v>
      </c>
    </row>
    <row r="49" spans="1:28" s="4" customFormat="1" ht="13" x14ac:dyDescent="0.3">
      <c r="A49" s="5">
        <v>2333</v>
      </c>
      <c r="B49" s="6" t="s">
        <v>175</v>
      </c>
      <c r="C49" s="7">
        <v>43741</v>
      </c>
      <c r="D49" s="5">
        <v>67</v>
      </c>
      <c r="E49" s="9" t="s">
        <v>58</v>
      </c>
      <c r="F49" s="8" t="s">
        <v>177</v>
      </c>
      <c r="G49" s="9" t="s">
        <v>178</v>
      </c>
      <c r="H49" s="8" t="str">
        <f>"000269"</f>
        <v>000269</v>
      </c>
      <c r="I49" s="7">
        <v>43521</v>
      </c>
      <c r="J49" s="8" t="str">
        <f>"000063"</f>
        <v>000063</v>
      </c>
      <c r="K49" s="7">
        <v>43654</v>
      </c>
      <c r="L49" s="8" t="str">
        <f>"000161"</f>
        <v>000161</v>
      </c>
      <c r="M49" s="7">
        <v>43654</v>
      </c>
      <c r="N49" s="8">
        <v>19</v>
      </c>
      <c r="O49" s="8" t="str">
        <f>"005443"</f>
        <v>005443</v>
      </c>
      <c r="P49" s="7">
        <v>43734</v>
      </c>
      <c r="Q49" s="10">
        <v>51.453600000000002</v>
      </c>
      <c r="R49" s="10">
        <v>6.13436</v>
      </c>
      <c r="S49" s="10">
        <v>45.319240000000001</v>
      </c>
      <c r="T49" s="8">
        <v>13</v>
      </c>
      <c r="U49" s="7">
        <v>43741</v>
      </c>
      <c r="V49" s="8">
        <v>9900333496</v>
      </c>
      <c r="W49" s="9" t="s">
        <v>44</v>
      </c>
      <c r="X49" s="8" t="s">
        <v>37</v>
      </c>
      <c r="Y49" s="9" t="s">
        <v>38</v>
      </c>
      <c r="Z49" s="8" t="s">
        <v>62</v>
      </c>
      <c r="AA49" s="9" t="s">
        <v>63</v>
      </c>
      <c r="AB49" s="10">
        <v>0.51453599999999999</v>
      </c>
    </row>
    <row r="50" spans="1:28" s="4" customFormat="1" ht="13" x14ac:dyDescent="0.3">
      <c r="A50" s="5">
        <v>2334</v>
      </c>
      <c r="B50" s="6" t="s">
        <v>175</v>
      </c>
      <c r="C50" s="7">
        <v>43748</v>
      </c>
      <c r="D50" s="5">
        <v>67</v>
      </c>
      <c r="E50" s="9" t="s">
        <v>58</v>
      </c>
      <c r="F50" s="8" t="s">
        <v>180</v>
      </c>
      <c r="G50" s="9" t="s">
        <v>181</v>
      </c>
      <c r="H50" s="8" t="str">
        <f>"000026"</f>
        <v>000026</v>
      </c>
      <c r="I50" s="7">
        <v>42956</v>
      </c>
      <c r="J50" s="8" t="str">
        <f>"000083"</f>
        <v>000083</v>
      </c>
      <c r="K50" s="7">
        <v>43343</v>
      </c>
      <c r="L50" s="8" t="str">
        <f>"000078"</f>
        <v>000078</v>
      </c>
      <c r="M50" s="7">
        <v>43343</v>
      </c>
      <c r="N50" s="8">
        <v>16</v>
      </c>
      <c r="O50" s="8" t="str">
        <f>"005615"</f>
        <v>005615</v>
      </c>
      <c r="P50" s="7">
        <v>43741</v>
      </c>
      <c r="Q50" s="10">
        <v>4.9850899999999996</v>
      </c>
      <c r="R50" s="10">
        <v>0.67483000000000004</v>
      </c>
      <c r="S50" s="10">
        <v>4.3102600000000004</v>
      </c>
      <c r="T50" s="8">
        <v>13</v>
      </c>
      <c r="U50" s="7">
        <v>43748</v>
      </c>
      <c r="V50" s="8">
        <v>9900333498</v>
      </c>
      <c r="W50" s="9" t="s">
        <v>53</v>
      </c>
      <c r="X50" s="8" t="s">
        <v>47</v>
      </c>
      <c r="Y50" s="9" t="s">
        <v>48</v>
      </c>
      <c r="Z50" s="8" t="s">
        <v>45</v>
      </c>
      <c r="AA50" s="9" t="s">
        <v>46</v>
      </c>
      <c r="AB50" s="10">
        <v>4.9850899999999997E-2</v>
      </c>
    </row>
    <row r="51" spans="1:28" s="4" customFormat="1" ht="13" x14ac:dyDescent="0.3">
      <c r="A51" s="5">
        <v>2335</v>
      </c>
      <c r="B51" s="6" t="s">
        <v>175</v>
      </c>
      <c r="C51" s="7">
        <v>43748</v>
      </c>
      <c r="D51" s="5">
        <v>67</v>
      </c>
      <c r="E51" s="9" t="s">
        <v>58</v>
      </c>
      <c r="F51" s="8" t="s">
        <v>182</v>
      </c>
      <c r="G51" s="9" t="s">
        <v>183</v>
      </c>
      <c r="H51" s="8" t="str">
        <f>"000003"</f>
        <v>000003</v>
      </c>
      <c r="I51" s="7">
        <v>42908</v>
      </c>
      <c r="J51" s="8" t="str">
        <f>"000082"</f>
        <v>000082</v>
      </c>
      <c r="K51" s="7">
        <v>43343</v>
      </c>
      <c r="L51" s="8" t="str">
        <f>"000079"</f>
        <v>000079</v>
      </c>
      <c r="M51" s="7">
        <v>43343</v>
      </c>
      <c r="N51" s="8">
        <v>16</v>
      </c>
      <c r="O51" s="8" t="str">
        <f>"005616"</f>
        <v>005616</v>
      </c>
      <c r="P51" s="7">
        <v>43741</v>
      </c>
      <c r="Q51" s="10">
        <v>33.978259999999999</v>
      </c>
      <c r="R51" s="10">
        <v>4.5717100000000004</v>
      </c>
      <c r="S51" s="10">
        <v>29.406549999999999</v>
      </c>
      <c r="T51" s="8">
        <v>13</v>
      </c>
      <c r="U51" s="7">
        <v>43748</v>
      </c>
      <c r="V51" s="8">
        <v>9900333498</v>
      </c>
      <c r="W51" s="9" t="s">
        <v>184</v>
      </c>
      <c r="X51" s="8" t="s">
        <v>47</v>
      </c>
      <c r="Y51" s="9" t="s">
        <v>48</v>
      </c>
      <c r="Z51" s="8" t="s">
        <v>45</v>
      </c>
      <c r="AA51" s="9" t="s">
        <v>46</v>
      </c>
      <c r="AB51" s="10">
        <v>0.33978259999999999</v>
      </c>
    </row>
    <row r="52" spans="1:28" s="4" customFormat="1" ht="13" x14ac:dyDescent="0.3">
      <c r="A52" s="5">
        <v>2336</v>
      </c>
      <c r="B52" s="6" t="s">
        <v>175</v>
      </c>
      <c r="C52" s="7">
        <v>43748</v>
      </c>
      <c r="D52" s="5">
        <v>67</v>
      </c>
      <c r="E52" s="9" t="s">
        <v>58</v>
      </c>
      <c r="F52" s="8" t="s">
        <v>185</v>
      </c>
      <c r="G52" s="9" t="s">
        <v>186</v>
      </c>
      <c r="H52" s="8" t="str">
        <f>"000046"</f>
        <v>000046</v>
      </c>
      <c r="I52" s="7">
        <v>42916</v>
      </c>
      <c r="J52" s="8" t="str">
        <f>"000080"</f>
        <v>000080</v>
      </c>
      <c r="K52" s="7">
        <v>43343</v>
      </c>
      <c r="L52" s="8" t="str">
        <f>"000080"</f>
        <v>000080</v>
      </c>
      <c r="M52" s="7">
        <v>43343</v>
      </c>
      <c r="N52" s="8">
        <v>16</v>
      </c>
      <c r="O52" s="8" t="str">
        <f>"005617"</f>
        <v>005617</v>
      </c>
      <c r="P52" s="7">
        <v>43741</v>
      </c>
      <c r="Q52" s="10">
        <v>37.927079999999997</v>
      </c>
      <c r="R52" s="10">
        <v>5.34199</v>
      </c>
      <c r="S52" s="10">
        <v>32.585090000000001</v>
      </c>
      <c r="T52" s="8">
        <v>13</v>
      </c>
      <c r="U52" s="7">
        <v>43748</v>
      </c>
      <c r="V52" s="8">
        <v>9900333498</v>
      </c>
      <c r="W52" s="9" t="s">
        <v>53</v>
      </c>
      <c r="X52" s="8" t="s">
        <v>47</v>
      </c>
      <c r="Y52" s="9" t="s">
        <v>48</v>
      </c>
      <c r="Z52" s="8" t="s">
        <v>45</v>
      </c>
      <c r="AA52" s="9" t="s">
        <v>46</v>
      </c>
      <c r="AB52" s="10">
        <v>0.37927079999999996</v>
      </c>
    </row>
    <row r="53" spans="1:28" s="4" customFormat="1" ht="13" x14ac:dyDescent="0.3">
      <c r="A53" s="5">
        <v>2337</v>
      </c>
      <c r="B53" s="6" t="s">
        <v>175</v>
      </c>
      <c r="C53" s="7">
        <v>43757</v>
      </c>
      <c r="D53" s="5">
        <v>67</v>
      </c>
      <c r="E53" s="9" t="s">
        <v>58</v>
      </c>
      <c r="F53" s="8" t="s">
        <v>187</v>
      </c>
      <c r="G53" s="9" t="s">
        <v>188</v>
      </c>
      <c r="H53" s="8" t="str">
        <f>"000173"</f>
        <v>000173</v>
      </c>
      <c r="I53" s="7">
        <v>43146</v>
      </c>
      <c r="J53" s="8" t="str">
        <f>"000124"</f>
        <v>000124</v>
      </c>
      <c r="K53" s="7">
        <v>43180</v>
      </c>
      <c r="L53" s="8" t="str">
        <f>"000294"</f>
        <v>000294</v>
      </c>
      <c r="M53" s="7">
        <v>43181</v>
      </c>
      <c r="N53" s="8">
        <v>18</v>
      </c>
      <c r="O53" s="8" t="str">
        <f>"005590"</f>
        <v>005590</v>
      </c>
      <c r="P53" s="7">
        <v>43739</v>
      </c>
      <c r="Q53" s="10">
        <v>9.9951399999999992</v>
      </c>
      <c r="R53" s="10">
        <v>1.0710200000000001</v>
      </c>
      <c r="S53" s="10">
        <v>8.9241200000000003</v>
      </c>
      <c r="T53" s="8">
        <v>13</v>
      </c>
      <c r="U53" s="7">
        <v>43757</v>
      </c>
      <c r="V53" s="8">
        <v>9900333496</v>
      </c>
      <c r="W53" s="9" t="s">
        <v>44</v>
      </c>
      <c r="X53" s="8" t="s">
        <v>189</v>
      </c>
      <c r="Y53" s="9" t="s">
        <v>190</v>
      </c>
      <c r="Z53" s="8" t="s">
        <v>62</v>
      </c>
      <c r="AA53" s="9" t="s">
        <v>63</v>
      </c>
      <c r="AB53" s="10">
        <v>9.9951399999999996E-2</v>
      </c>
    </row>
    <row r="54" spans="1:28" s="4" customFormat="1" ht="13" x14ac:dyDescent="0.3">
      <c r="A54" s="5">
        <v>2338</v>
      </c>
      <c r="B54" s="6" t="s">
        <v>175</v>
      </c>
      <c r="C54" s="7">
        <v>43762</v>
      </c>
      <c r="D54" s="5">
        <v>67</v>
      </c>
      <c r="E54" s="9" t="s">
        <v>58</v>
      </c>
      <c r="F54" s="8" t="s">
        <v>191</v>
      </c>
      <c r="G54" s="9" t="s">
        <v>192</v>
      </c>
      <c r="H54" s="8" t="str">
        <f>"000066"</f>
        <v>000066</v>
      </c>
      <c r="I54" s="7">
        <v>43535</v>
      </c>
      <c r="J54" s="8" t="str">
        <f>"000096"</f>
        <v>000096</v>
      </c>
      <c r="K54" s="7">
        <v>43735</v>
      </c>
      <c r="L54" s="8" t="str">
        <f>"000096"</f>
        <v>000096</v>
      </c>
      <c r="M54" s="7">
        <v>43735</v>
      </c>
      <c r="N54" s="8">
        <v>17</v>
      </c>
      <c r="O54" s="8" t="str">
        <f>"005846"</f>
        <v>005846</v>
      </c>
      <c r="P54" s="7">
        <v>43756</v>
      </c>
      <c r="Q54" s="10">
        <v>1.7955000000000001</v>
      </c>
      <c r="R54" s="10">
        <v>1.9800000000000002E-2</v>
      </c>
      <c r="S54" s="10">
        <v>1.7757000000000001</v>
      </c>
      <c r="T54" s="8">
        <v>13</v>
      </c>
      <c r="U54" s="7">
        <v>43762</v>
      </c>
      <c r="V54" s="8">
        <v>9945614169</v>
      </c>
      <c r="W54" s="9" t="s">
        <v>131</v>
      </c>
      <c r="X54" s="8" t="s">
        <v>132</v>
      </c>
      <c r="Y54" s="9" t="s">
        <v>133</v>
      </c>
      <c r="Z54" s="8" t="s">
        <v>134</v>
      </c>
      <c r="AA54" s="9" t="s">
        <v>135</v>
      </c>
      <c r="AB54" s="10">
        <v>1.7955000000000002E-2</v>
      </c>
    </row>
    <row r="55" spans="1:28" s="4" customFormat="1" ht="13" x14ac:dyDescent="0.3">
      <c r="A55" s="5">
        <v>2339</v>
      </c>
      <c r="B55" s="6" t="s">
        <v>175</v>
      </c>
      <c r="C55" s="7">
        <v>43768</v>
      </c>
      <c r="D55" s="5">
        <v>67</v>
      </c>
      <c r="E55" s="9" t="s">
        <v>58</v>
      </c>
      <c r="F55" s="8" t="s">
        <v>193</v>
      </c>
      <c r="G55" s="9" t="s">
        <v>194</v>
      </c>
      <c r="H55" s="8" t="str">
        <f>"000080"</f>
        <v>000080</v>
      </c>
      <c r="I55" s="7">
        <v>42723</v>
      </c>
      <c r="J55" s="8" t="str">
        <f>"000060"</f>
        <v>000060</v>
      </c>
      <c r="K55" s="7">
        <v>43283</v>
      </c>
      <c r="L55" s="8" t="str">
        <f>"000060"</f>
        <v>000060</v>
      </c>
      <c r="M55" s="7">
        <v>43283</v>
      </c>
      <c r="N55" s="8">
        <v>17</v>
      </c>
      <c r="O55" s="8" t="str">
        <f>"007307"</f>
        <v>007307</v>
      </c>
      <c r="P55" s="7">
        <v>43417</v>
      </c>
      <c r="Q55" s="10">
        <v>106.42789999999999</v>
      </c>
      <c r="R55" s="10">
        <v>10.7493</v>
      </c>
      <c r="S55" s="10">
        <v>95.678600000000003</v>
      </c>
      <c r="T55" s="8">
        <v>13</v>
      </c>
      <c r="U55" s="7">
        <v>43768</v>
      </c>
      <c r="V55" s="8">
        <v>9845339329</v>
      </c>
      <c r="W55" s="9" t="s">
        <v>195</v>
      </c>
      <c r="X55" s="8" t="s">
        <v>40</v>
      </c>
      <c r="Y55" s="9" t="s">
        <v>41</v>
      </c>
      <c r="Z55" s="8" t="s">
        <v>134</v>
      </c>
      <c r="AA55" s="9" t="s">
        <v>135</v>
      </c>
      <c r="AB55" s="10">
        <v>1.064279</v>
      </c>
    </row>
    <row r="56" spans="1:28" s="4" customFormat="1" ht="13" x14ac:dyDescent="0.3">
      <c r="A56" s="5">
        <v>2340</v>
      </c>
      <c r="B56" s="6" t="s">
        <v>196</v>
      </c>
      <c r="C56" s="7">
        <v>43773</v>
      </c>
      <c r="D56" s="5">
        <v>67</v>
      </c>
      <c r="E56" s="9" t="s">
        <v>58</v>
      </c>
      <c r="F56" s="8" t="s">
        <v>197</v>
      </c>
      <c r="G56" s="9" t="s">
        <v>198</v>
      </c>
      <c r="H56" s="8" t="str">
        <f>"000271"</f>
        <v>000271</v>
      </c>
      <c r="I56" s="7">
        <v>43522</v>
      </c>
      <c r="J56" s="8" t="str">
        <f>"000016"</f>
        <v>000016</v>
      </c>
      <c r="K56" s="7">
        <v>43598</v>
      </c>
      <c r="L56" s="8" t="str">
        <f>"000049"</f>
        <v>000049</v>
      </c>
      <c r="M56" s="7">
        <v>43599</v>
      </c>
      <c r="N56" s="8">
        <v>19</v>
      </c>
      <c r="O56" s="8" t="str">
        <f>"006028"</f>
        <v>006028</v>
      </c>
      <c r="P56" s="7">
        <v>43769</v>
      </c>
      <c r="Q56" s="10">
        <v>64.437299999999993</v>
      </c>
      <c r="R56" s="10">
        <v>7.6486299999999998</v>
      </c>
      <c r="S56" s="10">
        <v>56.788670000000003</v>
      </c>
      <c r="T56" s="8">
        <v>13</v>
      </c>
      <c r="U56" s="7">
        <v>43773</v>
      </c>
      <c r="V56" s="8">
        <v>9900333496</v>
      </c>
      <c r="W56" s="9" t="s">
        <v>44</v>
      </c>
      <c r="X56" s="8" t="s">
        <v>37</v>
      </c>
      <c r="Y56" s="9" t="s">
        <v>38</v>
      </c>
      <c r="Z56" s="8" t="s">
        <v>62</v>
      </c>
      <c r="AA56" s="9" t="s">
        <v>63</v>
      </c>
      <c r="AB56" s="10">
        <v>0.64437299999999997</v>
      </c>
    </row>
    <row r="57" spans="1:28" s="4" customFormat="1" ht="13" x14ac:dyDescent="0.3">
      <c r="A57" s="5">
        <v>2341</v>
      </c>
      <c r="B57" s="6" t="s">
        <v>196</v>
      </c>
      <c r="C57" s="7">
        <v>43773</v>
      </c>
      <c r="D57" s="5">
        <v>67</v>
      </c>
      <c r="E57" s="9" t="s">
        <v>58</v>
      </c>
      <c r="F57" s="8" t="s">
        <v>199</v>
      </c>
      <c r="G57" s="9" t="s">
        <v>200</v>
      </c>
      <c r="H57" s="8" t="str">
        <f>"000273"</f>
        <v>000273</v>
      </c>
      <c r="I57" s="7">
        <v>43522</v>
      </c>
      <c r="J57" s="8" t="str">
        <f>"000104"</f>
        <v>000104</v>
      </c>
      <c r="K57" s="7">
        <v>43735</v>
      </c>
      <c r="L57" s="8" t="str">
        <f>"000285"</f>
        <v>000285</v>
      </c>
      <c r="M57" s="7">
        <v>43735</v>
      </c>
      <c r="N57" s="8">
        <v>19</v>
      </c>
      <c r="O57" s="8" t="str">
        <f>"006030"</f>
        <v>006030</v>
      </c>
      <c r="P57" s="7">
        <v>43769</v>
      </c>
      <c r="Q57" s="10">
        <v>51.993079999999999</v>
      </c>
      <c r="R57" s="10">
        <v>5.94191</v>
      </c>
      <c r="S57" s="10">
        <v>46.051169999999999</v>
      </c>
      <c r="T57" s="8">
        <v>13</v>
      </c>
      <c r="U57" s="7">
        <v>43773</v>
      </c>
      <c r="V57" s="8">
        <v>9900333496</v>
      </c>
      <c r="W57" s="9" t="s">
        <v>44</v>
      </c>
      <c r="X57" s="8" t="s">
        <v>37</v>
      </c>
      <c r="Y57" s="9" t="s">
        <v>38</v>
      </c>
      <c r="Z57" s="8" t="s">
        <v>62</v>
      </c>
      <c r="AA57" s="9" t="s">
        <v>63</v>
      </c>
      <c r="AB57" s="10">
        <v>0.51993080000000003</v>
      </c>
    </row>
    <row r="58" spans="1:28" s="4" customFormat="1" ht="13" x14ac:dyDescent="0.3">
      <c r="A58" s="5">
        <v>2342</v>
      </c>
      <c r="B58" s="6" t="s">
        <v>196</v>
      </c>
      <c r="C58" s="7">
        <v>43773</v>
      </c>
      <c r="D58" s="5">
        <v>67</v>
      </c>
      <c r="E58" s="9" t="s">
        <v>58</v>
      </c>
      <c r="F58" s="8" t="s">
        <v>201</v>
      </c>
      <c r="G58" s="9" t="s">
        <v>202</v>
      </c>
      <c r="H58" s="8" t="str">
        <f>"000272"</f>
        <v>000272</v>
      </c>
      <c r="I58" s="7">
        <v>43522</v>
      </c>
      <c r="J58" s="8" t="str">
        <f>"000105"</f>
        <v>000105</v>
      </c>
      <c r="K58" s="7">
        <v>43735</v>
      </c>
      <c r="L58" s="8" t="str">
        <f>"000284"</f>
        <v>000284</v>
      </c>
      <c r="M58" s="7">
        <v>43735</v>
      </c>
      <c r="N58" s="8">
        <v>19</v>
      </c>
      <c r="O58" s="8" t="str">
        <f>"006032"</f>
        <v>006032</v>
      </c>
      <c r="P58" s="7">
        <v>43769</v>
      </c>
      <c r="Q58" s="10">
        <v>51.899059999999999</v>
      </c>
      <c r="R58" s="10">
        <v>6.0643700000000003</v>
      </c>
      <c r="S58" s="10">
        <v>45.834690000000002</v>
      </c>
      <c r="T58" s="8">
        <v>13</v>
      </c>
      <c r="U58" s="7">
        <v>43773</v>
      </c>
      <c r="V58" s="8">
        <v>9900333496</v>
      </c>
      <c r="W58" s="9" t="s">
        <v>44</v>
      </c>
      <c r="X58" s="8" t="s">
        <v>37</v>
      </c>
      <c r="Y58" s="9" t="s">
        <v>38</v>
      </c>
      <c r="Z58" s="8" t="s">
        <v>62</v>
      </c>
      <c r="AA58" s="9" t="s">
        <v>63</v>
      </c>
      <c r="AB58" s="10">
        <v>0.51899059999999997</v>
      </c>
    </row>
    <row r="59" spans="1:28" s="4" customFormat="1" ht="13" x14ac:dyDescent="0.3">
      <c r="A59" s="5">
        <v>2343</v>
      </c>
      <c r="B59" s="6" t="s">
        <v>196</v>
      </c>
      <c r="C59" s="7">
        <v>43795</v>
      </c>
      <c r="D59" s="5">
        <v>67</v>
      </c>
      <c r="E59" s="9" t="s">
        <v>58</v>
      </c>
      <c r="F59" s="8" t="s">
        <v>71</v>
      </c>
      <c r="G59" s="9" t="s">
        <v>72</v>
      </c>
      <c r="H59" s="8" t="str">
        <f>"000017"</f>
        <v>000017</v>
      </c>
      <c r="I59" s="7">
        <v>42935</v>
      </c>
      <c r="J59" s="8" t="str">
        <f>"000084"</f>
        <v>000084</v>
      </c>
      <c r="K59" s="7">
        <v>43782</v>
      </c>
      <c r="L59" s="8" t="str">
        <f>"000084"</f>
        <v>000084</v>
      </c>
      <c r="M59" s="7">
        <v>43782</v>
      </c>
      <c r="N59" s="8">
        <v>16</v>
      </c>
      <c r="O59" s="8" t="str">
        <f>"006323"</f>
        <v>006323</v>
      </c>
      <c r="P59" s="7">
        <v>43791</v>
      </c>
      <c r="Q59" s="10">
        <v>11.10497</v>
      </c>
      <c r="R59" s="10">
        <v>1.0978000000000001</v>
      </c>
      <c r="S59" s="10">
        <v>10.00717</v>
      </c>
      <c r="T59" s="8">
        <v>13</v>
      </c>
      <c r="U59" s="7">
        <v>43795</v>
      </c>
      <c r="V59" s="8">
        <v>9620096296</v>
      </c>
      <c r="W59" s="9" t="s">
        <v>52</v>
      </c>
      <c r="X59" s="8" t="s">
        <v>29</v>
      </c>
      <c r="Y59" s="9" t="s">
        <v>30</v>
      </c>
      <c r="Z59" s="8" t="s">
        <v>45</v>
      </c>
      <c r="AA59" s="9" t="s">
        <v>46</v>
      </c>
      <c r="AB59" s="10">
        <v>0.1110497</v>
      </c>
    </row>
    <row r="60" spans="1:28" s="4" customFormat="1" ht="13" x14ac:dyDescent="0.3">
      <c r="A60" s="5">
        <v>2344</v>
      </c>
      <c r="B60" s="6" t="s">
        <v>196</v>
      </c>
      <c r="C60" s="7">
        <v>43798</v>
      </c>
      <c r="D60" s="5">
        <v>67</v>
      </c>
      <c r="E60" s="9" t="s">
        <v>58</v>
      </c>
      <c r="F60" s="8" t="s">
        <v>203</v>
      </c>
      <c r="G60" s="9" t="s">
        <v>204</v>
      </c>
      <c r="H60" s="8" t="str">
        <f>"000340"</f>
        <v>000340</v>
      </c>
      <c r="I60" s="7">
        <v>43531</v>
      </c>
      <c r="J60" s="8" t="str">
        <f>"000101"</f>
        <v>000101</v>
      </c>
      <c r="K60" s="7">
        <v>43729</v>
      </c>
      <c r="L60" s="8" t="str">
        <f>"000273"</f>
        <v>000273</v>
      </c>
      <c r="M60" s="7">
        <v>43732</v>
      </c>
      <c r="N60" s="8">
        <v>19</v>
      </c>
      <c r="O60" s="8" t="str">
        <f>"006313"</f>
        <v>006313</v>
      </c>
      <c r="P60" s="7">
        <v>43791</v>
      </c>
      <c r="Q60" s="10">
        <v>63.370989999999999</v>
      </c>
      <c r="R60" s="10">
        <v>7.3073899999999998</v>
      </c>
      <c r="S60" s="10">
        <v>56.063600000000001</v>
      </c>
      <c r="T60" s="8">
        <v>13</v>
      </c>
      <c r="U60" s="7">
        <v>43798</v>
      </c>
      <c r="V60" s="8">
        <v>9900333496</v>
      </c>
      <c r="W60" s="9" t="s">
        <v>44</v>
      </c>
      <c r="X60" s="8" t="s">
        <v>37</v>
      </c>
      <c r="Y60" s="9" t="s">
        <v>38</v>
      </c>
      <c r="Z60" s="8" t="s">
        <v>62</v>
      </c>
      <c r="AA60" s="9" t="s">
        <v>63</v>
      </c>
      <c r="AB60" s="10">
        <v>0.63370989999999994</v>
      </c>
    </row>
    <row r="61" spans="1:28" s="4" customFormat="1" ht="13" x14ac:dyDescent="0.3">
      <c r="A61" s="5">
        <v>2345</v>
      </c>
      <c r="B61" s="6" t="s">
        <v>205</v>
      </c>
      <c r="C61" s="7">
        <v>43802</v>
      </c>
      <c r="D61" s="5">
        <v>67</v>
      </c>
      <c r="E61" s="9" t="s">
        <v>58</v>
      </c>
      <c r="F61" s="8" t="s">
        <v>129</v>
      </c>
      <c r="G61" s="9" t="s">
        <v>130</v>
      </c>
      <c r="H61" s="8" t="str">
        <f>"000068"</f>
        <v>000068</v>
      </c>
      <c r="I61" s="7">
        <v>43535</v>
      </c>
      <c r="J61" s="8" t="str">
        <f>"000116"</f>
        <v>000116</v>
      </c>
      <c r="K61" s="7">
        <v>43766</v>
      </c>
      <c r="L61" s="8" t="str">
        <f>"000116"</f>
        <v>000116</v>
      </c>
      <c r="M61" s="7">
        <v>43766</v>
      </c>
      <c r="N61" s="8">
        <v>17</v>
      </c>
      <c r="O61" s="8" t="str">
        <f>"006479"</f>
        <v>006479</v>
      </c>
      <c r="P61" s="7">
        <v>43797</v>
      </c>
      <c r="Q61" s="10">
        <v>0.84709999999999996</v>
      </c>
      <c r="R61" s="10">
        <v>1.7690000000000001E-2</v>
      </c>
      <c r="S61" s="10">
        <v>0.82940999999999998</v>
      </c>
      <c r="T61" s="8">
        <v>13</v>
      </c>
      <c r="U61" s="7">
        <v>43802</v>
      </c>
      <c r="V61" s="8">
        <v>9945614169</v>
      </c>
      <c r="W61" s="9" t="s">
        <v>131</v>
      </c>
      <c r="X61" s="8" t="s">
        <v>132</v>
      </c>
      <c r="Y61" s="9" t="s">
        <v>133</v>
      </c>
      <c r="Z61" s="8" t="s">
        <v>134</v>
      </c>
      <c r="AA61" s="9" t="s">
        <v>135</v>
      </c>
      <c r="AB61" s="10">
        <v>8.4709999999999994E-3</v>
      </c>
    </row>
    <row r="62" spans="1:28" s="4" customFormat="1" ht="13" x14ac:dyDescent="0.3">
      <c r="A62" s="5">
        <v>2346</v>
      </c>
      <c r="B62" s="6" t="s">
        <v>205</v>
      </c>
      <c r="C62" s="7">
        <v>43816</v>
      </c>
      <c r="D62" s="5">
        <v>67</v>
      </c>
      <c r="E62" s="9" t="s">
        <v>58</v>
      </c>
      <c r="F62" s="8" t="s">
        <v>206</v>
      </c>
      <c r="G62" s="9" t="s">
        <v>207</v>
      </c>
      <c r="H62" s="8" t="str">
        <f>"000033"</f>
        <v>000033</v>
      </c>
      <c r="I62" s="7">
        <v>42870</v>
      </c>
      <c r="J62" s="8" t="str">
        <f>"000099"</f>
        <v>000099</v>
      </c>
      <c r="K62" s="7">
        <v>43316</v>
      </c>
      <c r="L62" s="8" t="str">
        <f>"000218"</f>
        <v>000218</v>
      </c>
      <c r="M62" s="7">
        <v>43316</v>
      </c>
      <c r="N62" s="8">
        <v>17</v>
      </c>
      <c r="O62" s="8" t="str">
        <f>"006823"</f>
        <v>006823</v>
      </c>
      <c r="P62" s="7">
        <v>43815</v>
      </c>
      <c r="Q62" s="10">
        <v>19.81212</v>
      </c>
      <c r="R62" s="10">
        <v>2.22031</v>
      </c>
      <c r="S62" s="10">
        <v>17.591809999999999</v>
      </c>
      <c r="T62" s="8">
        <v>13</v>
      </c>
      <c r="U62" s="7">
        <v>43816</v>
      </c>
      <c r="V62" s="8">
        <v>9900333496</v>
      </c>
      <c r="W62" s="9" t="s">
        <v>44</v>
      </c>
      <c r="X62" s="8" t="s">
        <v>42</v>
      </c>
      <c r="Y62" s="9" t="s">
        <v>43</v>
      </c>
      <c r="Z62" s="8" t="s">
        <v>62</v>
      </c>
      <c r="AA62" s="9" t="s">
        <v>63</v>
      </c>
      <c r="AB62" s="10">
        <v>0.1981212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2020-01-28T11:54:30Z</dcterms:modified>
</cp:coreProperties>
</file>