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6" i="1" l="1"/>
  <c r="L66" i="1"/>
  <c r="J66" i="1"/>
  <c r="H66" i="1"/>
  <c r="O65" i="1"/>
  <c r="L65" i="1"/>
  <c r="J65" i="1"/>
  <c r="H65" i="1"/>
  <c r="O64" i="1"/>
  <c r="L64" i="1"/>
  <c r="J64" i="1"/>
  <c r="H64" i="1"/>
  <c r="O63" i="1"/>
  <c r="L63" i="1"/>
  <c r="J63" i="1"/>
  <c r="H63" i="1"/>
  <c r="O62" i="1"/>
  <c r="L62" i="1"/>
  <c r="J62" i="1"/>
  <c r="H62" i="1"/>
  <c r="O61" i="1"/>
  <c r="L61" i="1"/>
  <c r="J61" i="1"/>
  <c r="H61" i="1"/>
  <c r="O60" i="1"/>
  <c r="L60" i="1"/>
  <c r="J60" i="1"/>
  <c r="H60" i="1"/>
  <c r="O59" i="1"/>
  <c r="L59" i="1"/>
  <c r="J59" i="1"/>
  <c r="H59" i="1"/>
  <c r="O58" i="1"/>
  <c r="L58" i="1"/>
  <c r="J58" i="1"/>
  <c r="H58" i="1"/>
  <c r="O57" i="1"/>
  <c r="L57" i="1"/>
  <c r="J57" i="1"/>
  <c r="H57" i="1"/>
  <c r="O56" i="1"/>
  <c r="L56" i="1"/>
  <c r="J56" i="1"/>
  <c r="H56" i="1"/>
  <c r="AB55" i="1"/>
  <c r="O55" i="1"/>
  <c r="L55" i="1"/>
  <c r="J55" i="1"/>
  <c r="H55" i="1"/>
  <c r="AB54" i="1"/>
  <c r="O54" i="1"/>
  <c r="L54" i="1"/>
  <c r="J54" i="1"/>
  <c r="H54" i="1"/>
  <c r="AB53" i="1"/>
  <c r="O53" i="1"/>
  <c r="L53" i="1"/>
  <c r="J53" i="1"/>
  <c r="H53" i="1"/>
  <c r="AB52" i="1"/>
  <c r="O52" i="1"/>
  <c r="L52" i="1"/>
  <c r="J52" i="1"/>
  <c r="H52" i="1"/>
  <c r="AB51" i="1"/>
  <c r="O51" i="1"/>
  <c r="L51" i="1"/>
  <c r="J51" i="1"/>
  <c r="H51" i="1"/>
  <c r="AB50" i="1"/>
  <c r="O50" i="1"/>
  <c r="L50" i="1"/>
  <c r="J50" i="1"/>
  <c r="H50" i="1"/>
  <c r="AB49" i="1"/>
  <c r="O49" i="1"/>
  <c r="L49" i="1"/>
  <c r="J49" i="1"/>
  <c r="H49" i="1"/>
  <c r="AB48" i="1"/>
  <c r="O48" i="1"/>
  <c r="L48" i="1"/>
  <c r="J48" i="1"/>
  <c r="H48" i="1"/>
  <c r="AB47" i="1"/>
  <c r="O47" i="1"/>
  <c r="L47" i="1"/>
  <c r="J47" i="1"/>
  <c r="H47" i="1"/>
  <c r="AB46" i="1"/>
  <c r="O46" i="1"/>
  <c r="L46" i="1"/>
  <c r="J46" i="1"/>
  <c r="H46" i="1"/>
  <c r="AB45" i="1"/>
  <c r="O45" i="1"/>
  <c r="L45" i="1"/>
  <c r="J45" i="1"/>
  <c r="H45" i="1"/>
  <c r="AB44" i="1"/>
  <c r="O44" i="1"/>
  <c r="L44" i="1"/>
  <c r="J44" i="1"/>
  <c r="H44" i="1"/>
  <c r="AB43" i="1"/>
  <c r="O43" i="1"/>
  <c r="L43" i="1"/>
  <c r="J43" i="1"/>
  <c r="H43" i="1"/>
  <c r="AB42" i="1"/>
  <c r="O42" i="1"/>
  <c r="L42" i="1"/>
  <c r="J42" i="1"/>
  <c r="H42" i="1"/>
  <c r="AB41" i="1"/>
  <c r="O41" i="1"/>
  <c r="L41" i="1"/>
  <c r="J41" i="1"/>
  <c r="H41" i="1"/>
  <c r="AB40" i="1"/>
  <c r="O40" i="1"/>
  <c r="L40" i="1"/>
  <c r="J40" i="1"/>
  <c r="H40" i="1"/>
  <c r="AB39" i="1"/>
  <c r="O39" i="1"/>
  <c r="L39" i="1"/>
  <c r="J39" i="1"/>
  <c r="H39" i="1"/>
  <c r="AB38" i="1"/>
  <c r="O38" i="1"/>
  <c r="L38" i="1"/>
  <c r="J38" i="1"/>
  <c r="H38" i="1"/>
  <c r="AB37" i="1"/>
  <c r="O37" i="1"/>
  <c r="L37" i="1"/>
  <c r="J37" i="1"/>
  <c r="H37" i="1"/>
  <c r="AB36" i="1"/>
  <c r="O36" i="1"/>
  <c r="L36" i="1"/>
  <c r="J36" i="1"/>
  <c r="H36" i="1"/>
  <c r="AB35" i="1"/>
  <c r="O35" i="1"/>
  <c r="L35" i="1"/>
  <c r="J35" i="1"/>
  <c r="H35" i="1"/>
  <c r="AB34" i="1"/>
  <c r="O34" i="1"/>
  <c r="L34" i="1"/>
  <c r="J34" i="1"/>
  <c r="H34" i="1"/>
  <c r="AB33" i="1"/>
  <c r="O33" i="1"/>
  <c r="L33" i="1"/>
  <c r="J33" i="1"/>
  <c r="H33" i="1"/>
  <c r="AB32" i="1"/>
  <c r="O32" i="1"/>
  <c r="L32" i="1"/>
  <c r="J32" i="1"/>
  <c r="H32" i="1"/>
  <c r="AB31" i="1"/>
  <c r="O31" i="1"/>
  <c r="L31" i="1"/>
  <c r="J31" i="1"/>
  <c r="H31" i="1"/>
  <c r="AB30" i="1"/>
  <c r="O30" i="1"/>
  <c r="L30" i="1"/>
  <c r="J30" i="1"/>
  <c r="H30" i="1"/>
  <c r="AB29" i="1"/>
  <c r="O29" i="1"/>
  <c r="L29" i="1"/>
  <c r="J29" i="1"/>
  <c r="H29" i="1"/>
  <c r="AB28" i="1"/>
  <c r="O28" i="1"/>
  <c r="L28" i="1"/>
  <c r="J28" i="1"/>
  <c r="H28" i="1"/>
  <c r="O27" i="1"/>
  <c r="L27" i="1"/>
  <c r="J27" i="1"/>
  <c r="H27" i="1"/>
  <c r="O26" i="1"/>
  <c r="L26" i="1"/>
  <c r="J26" i="1"/>
  <c r="H26" i="1"/>
  <c r="O25" i="1"/>
  <c r="L25" i="1"/>
  <c r="J25" i="1"/>
  <c r="H25" i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<sst xmlns="http://schemas.openxmlformats.org/spreadsheetml/2006/main" count="613" uniqueCount="209">
  <si>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</si>
  <si>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</si>
  <si>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</si>
  <si>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</si>
  <si>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</si>
  <si>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</si>
  <si>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</si>
  <si>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</si>
  <si>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</si>
  <si>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</si>
  <si>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</si>
  <si>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</si>
  <si>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</si>
  <si>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</si>
  <si>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</si>
  <si>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</si>
  <si>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</si>
  <si>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</si>
  <si>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</si>
  <si>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</si>
  <si>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</si>
  <si>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</si>
  <si>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</si>
  <si>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</si>
  <si>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</si>
  <si>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</si>
  <si>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</si>
  <si>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</si>
  <si>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</si>
  <si>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P0300</t>
  </si>
  <si>
    <t>M and R to Street Lights - Replacement of Burnt Bulbs etc. (Package)</t>
  </si>
  <si>
    <t>June</t>
  </si>
  <si>
    <t>P1771</t>
  </si>
  <si>
    <t>Zone Works - POW Works</t>
  </si>
  <si>
    <t>May</t>
  </si>
  <si>
    <t>P3106</t>
  </si>
  <si>
    <t>Nagarothana Works</t>
  </si>
  <si>
    <t>KRIDL</t>
  </si>
  <si>
    <t>P3142</t>
  </si>
  <si>
    <t>LED Pilot Project in Ward No.9, 2, 11, 41, 43, 27, 52, 32, 57, 31, 68, 72,(Each Rs.25Lakhs Ward No.75(Rs.50 Lakhs)</t>
  </si>
  <si>
    <t>P0190</t>
  </si>
  <si>
    <t>Works sanctioned by Hon Mayor</t>
  </si>
  <si>
    <t>kridl</t>
  </si>
  <si>
    <t>P2415</t>
  </si>
  <si>
    <t>Reserve fund for TandF Committee</t>
  </si>
  <si>
    <t>ddo201</t>
  </si>
  <si>
    <t xml:space="preserve"> Assistant Executive Engineer Mahalakshmipuram West Zone</t>
  </si>
  <si>
    <t>ddo209</t>
  </si>
  <si>
    <t xml:space="preserve"> Assistant Executive Engineer Electrical West Zone</t>
  </si>
  <si>
    <t>P2178</t>
  </si>
  <si>
    <t>Works sanctioned by Dy. Mayor</t>
  </si>
  <si>
    <t>Kumar Electricals</t>
  </si>
  <si>
    <t>P3075</t>
  </si>
  <si>
    <t>Special comprehensive development works in Bangalore city (Bangalore city in charge Minister Discretionary Grants)</t>
  </si>
  <si>
    <t>P3172</t>
  </si>
  <si>
    <t>Special Development works in ward No.177,78,97, 57,99,100,68,11,126,168, 113,02, 181,03, 21,33,23,24,27 ,59,53,57,81,47, 45,72, 50,91,92,117,145,146,147,148,151,152, 122,134, 157, 84,85,150,163, 179,180, 170, 171, 175,176, 173,174, 186,189, 190,193,185,191,194, 195,196, 127, (Rs.200 lakhs each ward)</t>
  </si>
  <si>
    <t>P3297</t>
  </si>
  <si>
    <t>14th Finance Commission Grants - SWD Works</t>
  </si>
  <si>
    <t>P3120</t>
  </si>
  <si>
    <t>Developmental works at ward 47, 57, 63, 66, 68 , 154 and 171, 33, 9,  (Rs.2 Cr each)</t>
  </si>
  <si>
    <t>Executive Engineer 2 KRIDL</t>
  </si>
  <si>
    <t>Mahalakshmi Pura</t>
  </si>
  <si>
    <t>068-16-000017</t>
  </si>
  <si>
    <t>Consultancy Assignment of Project Management Consultancy Service for Preparation of Detailed Project Report (DPR) and Project Supervision for the work mentioned below in ward No.68.</t>
  </si>
  <si>
    <t>M.S.Venkatesh</t>
  </si>
  <si>
    <t>068-17-000054</t>
  </si>
  <si>
    <t>Providing lighting system to USHA park at in ward no 68</t>
  </si>
  <si>
    <t>068-17-000126</t>
  </si>
  <si>
    <t>Improvements and development of Siddharuda park in ward no 68</t>
  </si>
  <si>
    <t>068-17-000109</t>
  </si>
  <si>
    <t>Providing security service to IPP Hospital building in ward no 68</t>
  </si>
  <si>
    <t>068-17-000040</t>
  </si>
  <si>
    <t>Improvements to drain 11th cross balanceportion in mahalakshmi layout in ward no 68</t>
  </si>
  <si>
    <t>068-17-000032</t>
  </si>
  <si>
    <t>Improvement to drain from Ganapathi temple to 14th cross near 60 feet road in J.C. Nagar in ward no 68</t>
  </si>
  <si>
    <t>068-16-000001</t>
  </si>
  <si>
    <t>Annual Operation And maintenance Of Street Lights at Mahalakshmi puram in Ward No- 68</t>
  </si>
  <si>
    <t>068-17-000138</t>
  </si>
  <si>
    <t>Improvements to drain and CC roads in J C Nagara and surroundings in ward no 68</t>
  </si>
  <si>
    <t>068-17-000130</t>
  </si>
  <si>
    <t>Improvements to drian and road at 1st main road in Ganesh block in ward NO.68</t>
  </si>
  <si>
    <t>068-17-000043</t>
  </si>
  <si>
    <t>Providing CC roads in pasage conservancy in BDA Quarters in Ward no 68</t>
  </si>
  <si>
    <t>K.C.Prashanth</t>
  </si>
  <si>
    <t>068-18-000086</t>
  </si>
  <si>
    <t>Improvements to SWD drain Ganehsa Block  in ward no 68</t>
  </si>
  <si>
    <t>068-17-000050</t>
  </si>
  <si>
    <t>Improvements to drain and culverts 11th main (down side) to (sandeep Bar) 6th A main road in ward no 68</t>
  </si>
  <si>
    <t>V.Naveen</t>
  </si>
  <si>
    <t>068-17-000139</t>
  </si>
  <si>
    <t>Improvements to drain and road in Muneshwara block and surroundings in ward no 68</t>
  </si>
  <si>
    <t>068-17-000081</t>
  </si>
  <si>
    <t>Providing SS Raillings to foot path to 7th cross Mahalakshmil ayout (Ganesha Block) in ward no 68</t>
  </si>
  <si>
    <t>T.Rajesh</t>
  </si>
  <si>
    <t>068-17-000053</t>
  </si>
  <si>
    <t>Special development works in ward no 68</t>
  </si>
  <si>
    <t>Vishwanath</t>
  </si>
  <si>
    <t>068-17-000118</t>
  </si>
  <si>
    <t>Asphalting to bad roads in JC Nagar in ward no 68</t>
  </si>
  <si>
    <t>068-17-000147</t>
  </si>
  <si>
    <t>Asphalting to bad reaches in ward no 68</t>
  </si>
  <si>
    <t>068-17-000120</t>
  </si>
  <si>
    <t>Asphalting to bad roads in Mahalakshmi puram in ward no 68</t>
  </si>
  <si>
    <t>068-17-000057</t>
  </si>
  <si>
    <t>Providing CC Road in dialysis hospital surroundings in Geleyara balaga in ward no 68</t>
  </si>
  <si>
    <t>068-17-000108</t>
  </si>
  <si>
    <t>Providing asphalting and improvements to drain near Sallapuradamma temple and cross roads of Muneshwara block in ward no 68</t>
  </si>
  <si>
    <t>068-17-000123</t>
  </si>
  <si>
    <t>Construction of compound wall and other improvements works in Shivakumara Swamy park in ward no 68</t>
  </si>
  <si>
    <t>068-16-000009</t>
  </si>
  <si>
    <t>Engaging Tractor, Labour, JCB for Maintanace of roads and drains (Silt and Tractor) in Ward No. 68</t>
  </si>
  <si>
    <t>B.M.Lokesh (m/s.Ekadhantha Constructions)</t>
  </si>
  <si>
    <t>068-12-000035</t>
  </si>
  <si>
    <t xml:space="preserve">Improvements to Sallapuradamma arch in Mahalakshmi layout in ward no.68 </t>
  </si>
  <si>
    <t>G.K.Maruthikumar</t>
  </si>
  <si>
    <t>068-17-000119</t>
  </si>
  <si>
    <t>Asphalting to bad roads in Mahalakshmi Layout area in ward no 68</t>
  </si>
  <si>
    <t>068-17-000143</t>
  </si>
  <si>
    <t>Improvements to drain and providing CC road in Ganesha Block 8th cross and surroundings in ward no 68</t>
  </si>
  <si>
    <t>068-17-000102</t>
  </si>
  <si>
    <t>Providing LED Lights to Parks in ward no 68</t>
  </si>
  <si>
    <t>July</t>
  </si>
  <si>
    <t>068-17-000099</t>
  </si>
  <si>
    <t>Emergency works in ward No.68</t>
  </si>
  <si>
    <t>H.N.Shivashankar</t>
  </si>
  <si>
    <t>068-17-000135</t>
  </si>
  <si>
    <t>Providing Cobble stone and kerb stones to new pathway and other improvements works in Anjaneya swamy park in ward no 68</t>
  </si>
  <si>
    <t>068-17-000088</t>
  </si>
  <si>
    <t>Improvements to Toilet and other allied Improvement work in the Premises of Dialysis Centre in Geleyara Balaga in ward no 68</t>
  </si>
  <si>
    <t>Developmental works at ward 47, 57, 63, 66, 68 , 154 and 171, 33, 9, (Rs.2 Cr each)</t>
  </si>
  <si>
    <t>068-17-000090</t>
  </si>
  <si>
    <t>Applying painting construction of culvert and other improvements work the premises of Dialysis Centre in Geleyara Balaga in ward no 68</t>
  </si>
  <si>
    <t>068-17-000148</t>
  </si>
  <si>
    <t>Improvements to drains and road 5th and 6th cross Adjacent 8th main (Behind old Manjunatha Bar) 60feet road in J C Nagara in ward no 68</t>
  </si>
  <si>
    <t>068-17-000105</t>
  </si>
  <si>
    <t>Improvements to pipeline park and construction of new paragola in pipeline park in ward no 68</t>
  </si>
  <si>
    <t>068-17-000089</t>
  </si>
  <si>
    <t>Providing waterproofing and other improvements work in the premises of Dialysis centre in Geleyara balaga in ward no 68</t>
  </si>
  <si>
    <t>068-16-000034</t>
  </si>
  <si>
    <t>Purchase of lab equipments and office funiches, storage units for dialisies center at IPP Hospital in ward no.68</t>
  </si>
  <si>
    <t>068-18-000078</t>
  </si>
  <si>
    <t>Drilling of borewell in Ganesha block, Muneshwara block and surrounding area in ward NO 68</t>
  </si>
  <si>
    <t>068-18-000067</t>
  </si>
  <si>
    <t>Drilling of borewells and pipe in ward NO.68 Mahalakshmi layout</t>
  </si>
  <si>
    <t>068-17-000052</t>
  </si>
  <si>
    <t>Providing pathway in Anjaneyaswamy park and other improvement works in ward no 68</t>
  </si>
  <si>
    <t>Krishnegowda</t>
  </si>
  <si>
    <t>August</t>
  </si>
  <si>
    <t>068-18-000072</t>
  </si>
  <si>
    <t xml:space="preserve">Improvements to concrete road surrounding to Bayalu rangamandira near Ambedkar college in ward NO.68 </t>
  </si>
  <si>
    <t>068-18-000068</t>
  </si>
  <si>
    <t xml:space="preserve">Improvements and asphalting to roads in further extenstion and surrounding area in ward No.68 </t>
  </si>
  <si>
    <t>068-18-000059</t>
  </si>
  <si>
    <t xml:space="preserve">Providing GYM equipments and Children equipments and other Improvements works in Sathyanarayana layout park in ward NO.68 </t>
  </si>
  <si>
    <t>068-17-000096</t>
  </si>
  <si>
    <t>Tree plantation in road, park and tree maintenance in ward No.68</t>
  </si>
  <si>
    <t>068-19-000091</t>
  </si>
  <si>
    <t>Improvements to Drain 6th Cross and 7th Cross Near AGB Layout and other improvement works in cross road in ward No. 68</t>
  </si>
  <si>
    <t>P3111</t>
  </si>
  <si>
    <t>State Finance Commission Untied Grant Works</t>
  </si>
  <si>
    <t>068-19-000092</t>
  </si>
  <si>
    <t>Improvements to CC roads and drains and other improvements to road and drain near OM SHAKSHI Temple Near Ganesha Block in ward No. 68</t>
  </si>
  <si>
    <t>068-17-000095</t>
  </si>
  <si>
    <t>Maintanance of ward and BBMP properties and park security and other in ward NO.68</t>
  </si>
  <si>
    <t>September</t>
  </si>
  <si>
    <t>068-18-000011</t>
  </si>
  <si>
    <t>Improvements to drain and culverts in cross and main roads in Muneshwara Block and surroundings in ward no 68.</t>
  </si>
  <si>
    <t>068-17-000140</t>
  </si>
  <si>
    <t>Improvements to drain at Saraswathipuram and surroundings in ward no 68</t>
  </si>
  <si>
    <t>068-17-000091</t>
  </si>
  <si>
    <t>Development of Mahalakshmipura park civil work and other allied works in ward No.68</t>
  </si>
  <si>
    <t>068-17-000098</t>
  </si>
  <si>
    <t>Proposed pots in park at Ganesha block in ward NO.68</t>
  </si>
  <si>
    <t>068-17-000141</t>
  </si>
  <si>
    <t>Improvements to drain at Mahalakshmi layout and surroundings in ward no 68</t>
  </si>
  <si>
    <t>068-16-000027</t>
  </si>
  <si>
    <t>Asphalting to ALF roads and 2nd main (Samudhaya Bhavana road) and surroundings at Saraswathipura in ward no 68</t>
  </si>
  <si>
    <t>068-18-000001</t>
  </si>
  <si>
    <t>Providing Children Play Equipments and Park Improvements at Pipeline Park Near Jayachamarajendra Statue in Ward No -68</t>
  </si>
  <si>
    <t>P3359</t>
  </si>
  <si>
    <t>Developmental works in Mahlakshmi Layout Assembly Constituency</t>
  </si>
  <si>
    <t>068-17-000097</t>
  </si>
  <si>
    <t>Improvements and development works in ward No.68</t>
  </si>
  <si>
    <t>B.R.Puttaswamy</t>
  </si>
  <si>
    <t>068-18-000004</t>
  </si>
  <si>
    <t>Improvements to drain and culverts in cross and main roads in Saraswathipuram in wardno 68.</t>
  </si>
  <si>
    <t>October</t>
  </si>
  <si>
    <t>M/s. Accord Consultants.,</t>
  </si>
  <si>
    <t>M/s. Mecadez Core Technologies Pvt. Ltd.,</t>
  </si>
  <si>
    <t>068-18-000123</t>
  </si>
  <si>
    <t>Drilling of Borewells in ward no 68</t>
  </si>
  <si>
    <t>068-18-000008</t>
  </si>
  <si>
    <t>Providing Gym equipments in Anjaneya swamy park and other improvements to park in ward no 68.</t>
  </si>
  <si>
    <t>068-19-000090</t>
  </si>
  <si>
    <t>Asphalting to roads Near Club and other improvement works in Cross road Near Club im ward No. 68</t>
  </si>
  <si>
    <t>November</t>
  </si>
  <si>
    <t>068-18-000109</t>
  </si>
  <si>
    <t>Drillling of Borewell in MICO Layout in ward no 68</t>
  </si>
  <si>
    <t>068-19-000094</t>
  </si>
  <si>
    <t>Improvements to road in 6th Main road Near Geleyara Balaga and other improvement work in word No. 68</t>
  </si>
  <si>
    <t>December</t>
  </si>
  <si>
    <t>068-18-000065</t>
  </si>
  <si>
    <t>Improvements Asphalting to roads from panchamukhi temple road upto mahalakshmi layout bus stop and other Improvement road in ward NO.68</t>
  </si>
  <si>
    <t>068-18-000098</t>
  </si>
  <si>
    <t>Drillling of Borewell in ward no 68</t>
  </si>
  <si>
    <t>068-18-000114</t>
  </si>
  <si>
    <t>Improvements to drain and asphalting to 8th and 9th cross road Mahalakshmi layout in ward no 68</t>
  </si>
  <si>
    <t>068-18-000077</t>
  </si>
  <si>
    <t>Improvements to drain and other alied works to Sathyanarayana park and surrounding in ward No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</si>
</sst>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6"/>
  <sheetViews>
    <sheetView tabSelected="1" topLeftCell="A64" workbookViewId="0">
      <selection activeCell="A2" sqref="A2:XFD66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8.6328125" bestFit="1" customWidth="1"/>
    <col min="5" max="5" width="14.36328125" bestFit="1" customWidth="1"/>
    <col min="6" max="6" width="12.0898437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s="4" customFormat="1" ht="13" x14ac:dyDescent="0.3">
      <c r="A2" s="5">
        <v>2347</v>
      </c>
      <c r="B2" s="6" t="s">
        <v>28</v>
      </c>
      <c r="C2" s="7">
        <v>43565</v>
      </c>
      <c r="D2" s="8">
        <v>68</v>
      </c>
      <c r="E2" s="9" t="s">
        <v>61</v>
      </c>
      <c r="F2" s="8" t="s">
        <v>62</v>
      </c>
      <c r="G2" s="9" t="s">
        <v>63</v>
      </c>
      <c r="H2" s="8" t="str">
        <f>"000017"</f>
        <v>000017</v>
      </c>
      <c r="I2" s="7">
        <v>43095</v>
      </c>
      <c r="J2" s="8" t="str">
        <f>"000110"</f>
        <v>000110</v>
      </c>
      <c r="K2" s="7">
        <v>43099</v>
      </c>
      <c r="L2" s="8" t="str">
        <f>"000190"</f>
        <v>000190</v>
      </c>
      <c r="M2" s="7">
        <v>43103</v>
      </c>
      <c r="N2" s="8">
        <v>16</v>
      </c>
      <c r="O2" s="8" t="str">
        <f>"009374"</f>
        <v>009374</v>
      </c>
      <c r="P2" s="7">
        <v>43131</v>
      </c>
      <c r="Q2" s="10">
        <v>39.988889999999998</v>
      </c>
      <c r="R2" s="10">
        <v>2.1964100000000002</v>
      </c>
      <c r="S2" s="10">
        <v>37.792479999999998</v>
      </c>
      <c r="T2" s="8">
        <v>9</v>
      </c>
      <c r="U2" s="7">
        <v>43565</v>
      </c>
      <c r="V2" s="8">
        <v>0</v>
      </c>
      <c r="W2" s="9" t="s">
        <v>64</v>
      </c>
      <c r="X2" s="8" t="s">
        <v>35</v>
      </c>
      <c r="Y2" s="9" t="s">
        <v>36</v>
      </c>
      <c r="Z2" s="8" t="s">
        <v>45</v>
      </c>
      <c r="AA2" s="9" t="s">
        <v>46</v>
      </c>
      <c r="AB2" s="10">
        <f t="shared" ref="AB2:AB23" si="0">Q2/100</f>
        <v>0.39988889999999999</v>
      </c>
    </row>
    <row r="3" spans="1:28" s="4" customFormat="1" ht="13" x14ac:dyDescent="0.3">
      <c r="A3" s="5">
        <v>2348</v>
      </c>
      <c r="B3" s="6" t="s">
        <v>28</v>
      </c>
      <c r="C3" s="7">
        <v>43566</v>
      </c>
      <c r="D3" s="8">
        <v>68</v>
      </c>
      <c r="E3" s="9" t="s">
        <v>61</v>
      </c>
      <c r="F3" s="8" t="s">
        <v>65</v>
      </c>
      <c r="G3" s="9" t="s">
        <v>66</v>
      </c>
      <c r="H3" s="8" t="str">
        <f>"000056"</f>
        <v>000056</v>
      </c>
      <c r="I3" s="7">
        <v>42887</v>
      </c>
      <c r="J3" s="8" t="str">
        <f>"000007"</f>
        <v>000007</v>
      </c>
      <c r="K3" s="7">
        <v>42863</v>
      </c>
      <c r="L3" s="8" t="str">
        <f>"000013"</f>
        <v>000013</v>
      </c>
      <c r="M3" s="7">
        <v>42916</v>
      </c>
      <c r="N3" s="8">
        <v>17</v>
      </c>
      <c r="O3" s="8" t="str">
        <f>"000088"</f>
        <v>000088</v>
      </c>
      <c r="P3" s="7">
        <v>43563</v>
      </c>
      <c r="Q3" s="10">
        <v>9.9860799999999994</v>
      </c>
      <c r="R3" s="10">
        <v>1.4737100000000001</v>
      </c>
      <c r="S3" s="10">
        <v>8.5123700000000007</v>
      </c>
      <c r="T3" s="8">
        <v>12</v>
      </c>
      <c r="U3" s="7">
        <v>43566</v>
      </c>
      <c r="V3" s="8">
        <v>9845008155</v>
      </c>
      <c r="W3" s="9" t="s">
        <v>37</v>
      </c>
      <c r="X3" s="8" t="s">
        <v>49</v>
      </c>
      <c r="Y3" s="9" t="s">
        <v>50</v>
      </c>
      <c r="Z3" s="8" t="s">
        <v>47</v>
      </c>
      <c r="AA3" s="9" t="s">
        <v>48</v>
      </c>
      <c r="AB3" s="10">
        <f t="shared" si="0"/>
        <v>9.98608E-2</v>
      </c>
    </row>
    <row r="4" spans="1:28" s="4" customFormat="1" ht="13" x14ac:dyDescent="0.3">
      <c r="A4" s="5">
        <v>2349</v>
      </c>
      <c r="B4" s="6" t="s">
        <v>28</v>
      </c>
      <c r="C4" s="7">
        <v>43575</v>
      </c>
      <c r="D4" s="8">
        <v>68</v>
      </c>
      <c r="E4" s="9" t="s">
        <v>61</v>
      </c>
      <c r="F4" s="8" t="s">
        <v>67</v>
      </c>
      <c r="G4" s="9" t="s">
        <v>68</v>
      </c>
      <c r="H4" s="8" t="str">
        <f>"000070"</f>
        <v>000070</v>
      </c>
      <c r="I4" s="7">
        <v>42937</v>
      </c>
      <c r="J4" s="8" t="str">
        <f>"000127"</f>
        <v>000127</v>
      </c>
      <c r="K4" s="7">
        <v>43125</v>
      </c>
      <c r="L4" s="8" t="str">
        <f>"000211"</f>
        <v>000211</v>
      </c>
      <c r="M4" s="7">
        <v>43132</v>
      </c>
      <c r="N4" s="8">
        <v>17</v>
      </c>
      <c r="O4" s="8" t="str">
        <f>"000490"</f>
        <v>000490</v>
      </c>
      <c r="P4" s="7">
        <v>43567</v>
      </c>
      <c r="Q4" s="10">
        <v>19.499379999999999</v>
      </c>
      <c r="R4" s="10">
        <v>2.3180800000000001</v>
      </c>
      <c r="S4" s="10">
        <v>17.1813</v>
      </c>
      <c r="T4" s="8">
        <v>21</v>
      </c>
      <c r="U4" s="7">
        <v>43575</v>
      </c>
      <c r="V4" s="8">
        <v>9900333496</v>
      </c>
      <c r="W4" s="9" t="s">
        <v>42</v>
      </c>
      <c r="X4" s="8" t="s">
        <v>40</v>
      </c>
      <c r="Y4" s="9" t="s">
        <v>41</v>
      </c>
      <c r="Z4" s="8" t="s">
        <v>45</v>
      </c>
      <c r="AA4" s="9" t="s">
        <v>46</v>
      </c>
      <c r="AB4" s="10">
        <f t="shared" si="0"/>
        <v>0.19499379999999999</v>
      </c>
    </row>
    <row r="5" spans="1:28" s="4" customFormat="1" ht="13" x14ac:dyDescent="0.3">
      <c r="A5" s="5">
        <v>2350</v>
      </c>
      <c r="B5" s="6" t="s">
        <v>28</v>
      </c>
      <c r="C5" s="7">
        <v>43575</v>
      </c>
      <c r="D5" s="8">
        <v>68</v>
      </c>
      <c r="E5" s="9" t="s">
        <v>61</v>
      </c>
      <c r="F5" s="8" t="s">
        <v>69</v>
      </c>
      <c r="G5" s="9" t="s">
        <v>70</v>
      </c>
      <c r="H5" s="8" t="str">
        <f>"000495"</f>
        <v>000495</v>
      </c>
      <c r="I5" s="7">
        <v>42808</v>
      </c>
      <c r="J5" s="8" t="str">
        <f>"000126"</f>
        <v>000126</v>
      </c>
      <c r="K5" s="7">
        <v>43125</v>
      </c>
      <c r="L5" s="8" t="str">
        <f>"000212"</f>
        <v>000212</v>
      </c>
      <c r="M5" s="7">
        <v>43132</v>
      </c>
      <c r="N5" s="8">
        <v>17</v>
      </c>
      <c r="O5" s="8" t="str">
        <f>"000491"</f>
        <v>000491</v>
      </c>
      <c r="P5" s="7">
        <v>43567</v>
      </c>
      <c r="Q5" s="10">
        <v>9.2077899999999993</v>
      </c>
      <c r="R5" s="10">
        <v>1.2681100000000001</v>
      </c>
      <c r="S5" s="10">
        <v>7.9396800000000001</v>
      </c>
      <c r="T5" s="8">
        <v>21</v>
      </c>
      <c r="U5" s="7">
        <v>43575</v>
      </c>
      <c r="V5" s="8">
        <v>9900333496</v>
      </c>
      <c r="W5" s="9" t="s">
        <v>42</v>
      </c>
      <c r="X5" s="8" t="s">
        <v>49</v>
      </c>
      <c r="Y5" s="9" t="s">
        <v>50</v>
      </c>
      <c r="Z5" s="8" t="s">
        <v>45</v>
      </c>
      <c r="AA5" s="9" t="s">
        <v>46</v>
      </c>
      <c r="AB5" s="10">
        <f t="shared" si="0"/>
        <v>9.207789999999999E-2</v>
      </c>
    </row>
    <row r="6" spans="1:28" s="4" customFormat="1" ht="13" x14ac:dyDescent="0.3">
      <c r="A6" s="5">
        <v>2351</v>
      </c>
      <c r="B6" s="6" t="s">
        <v>28</v>
      </c>
      <c r="C6" s="7">
        <v>43580</v>
      </c>
      <c r="D6" s="8">
        <v>68</v>
      </c>
      <c r="E6" s="9" t="s">
        <v>61</v>
      </c>
      <c r="F6" s="8" t="s">
        <v>71</v>
      </c>
      <c r="G6" s="9" t="s">
        <v>72</v>
      </c>
      <c r="H6" s="8" t="str">
        <f>"000340"</f>
        <v>000340</v>
      </c>
      <c r="I6" s="7">
        <v>42633</v>
      </c>
      <c r="J6" s="8" t="str">
        <f>"000166"</f>
        <v>000166</v>
      </c>
      <c r="K6" s="7">
        <v>42916</v>
      </c>
      <c r="L6" s="8" t="str">
        <f>"000390"</f>
        <v>000390</v>
      </c>
      <c r="M6" s="7">
        <v>42916</v>
      </c>
      <c r="N6" s="8">
        <v>17</v>
      </c>
      <c r="O6" s="8" t="str">
        <f>"000765"</f>
        <v>000765</v>
      </c>
      <c r="P6" s="7">
        <v>43578</v>
      </c>
      <c r="Q6" s="10">
        <v>9.8474500000000003</v>
      </c>
      <c r="R6" s="10">
        <v>1.30579</v>
      </c>
      <c r="S6" s="10">
        <v>8.5416600000000003</v>
      </c>
      <c r="T6" s="8">
        <v>28</v>
      </c>
      <c r="U6" s="7">
        <v>43580</v>
      </c>
      <c r="V6" s="8">
        <v>9900333496</v>
      </c>
      <c r="W6" s="9" t="s">
        <v>42</v>
      </c>
      <c r="X6" s="8" t="s">
        <v>40</v>
      </c>
      <c r="Y6" s="9" t="s">
        <v>41</v>
      </c>
      <c r="Z6" s="8" t="s">
        <v>45</v>
      </c>
      <c r="AA6" s="9" t="s">
        <v>46</v>
      </c>
      <c r="AB6" s="10">
        <f t="shared" si="0"/>
        <v>9.8474500000000006E-2</v>
      </c>
    </row>
    <row r="7" spans="1:28" s="4" customFormat="1" ht="13" x14ac:dyDescent="0.3">
      <c r="A7" s="5">
        <v>2352</v>
      </c>
      <c r="B7" s="6" t="s">
        <v>28</v>
      </c>
      <c r="C7" s="7">
        <v>43580</v>
      </c>
      <c r="D7" s="8">
        <v>68</v>
      </c>
      <c r="E7" s="9" t="s">
        <v>61</v>
      </c>
      <c r="F7" s="8" t="s">
        <v>73</v>
      </c>
      <c r="G7" s="9" t="s">
        <v>74</v>
      </c>
      <c r="H7" s="8" t="str">
        <f>"000337"</f>
        <v>000337</v>
      </c>
      <c r="I7" s="7">
        <v>42633</v>
      </c>
      <c r="J7" s="8" t="str">
        <f>"000169"</f>
        <v>000169</v>
      </c>
      <c r="K7" s="7">
        <v>42825</v>
      </c>
      <c r="L7" s="8" t="str">
        <f>"000391"</f>
        <v>000391</v>
      </c>
      <c r="M7" s="7">
        <v>42916</v>
      </c>
      <c r="N7" s="8">
        <v>17</v>
      </c>
      <c r="O7" s="8" t="str">
        <f>"000766"</f>
        <v>000766</v>
      </c>
      <c r="P7" s="7">
        <v>43578</v>
      </c>
      <c r="Q7" s="10">
        <v>19.719940000000001</v>
      </c>
      <c r="R7" s="10">
        <v>2.7119200000000001</v>
      </c>
      <c r="S7" s="10">
        <v>17.008019999999998</v>
      </c>
      <c r="T7" s="8">
        <v>28</v>
      </c>
      <c r="U7" s="7">
        <v>43580</v>
      </c>
      <c r="V7" s="8">
        <v>9900333496</v>
      </c>
      <c r="W7" s="9" t="s">
        <v>42</v>
      </c>
      <c r="X7" s="8" t="s">
        <v>40</v>
      </c>
      <c r="Y7" s="9" t="s">
        <v>41</v>
      </c>
      <c r="Z7" s="8" t="s">
        <v>45</v>
      </c>
      <c r="AA7" s="9" t="s">
        <v>46</v>
      </c>
      <c r="AB7" s="10">
        <f t="shared" si="0"/>
        <v>0.19719940000000002</v>
      </c>
    </row>
    <row r="8" spans="1:28" s="4" customFormat="1" ht="13" x14ac:dyDescent="0.3">
      <c r="A8" s="5">
        <v>2353</v>
      </c>
      <c r="B8" s="6" t="s">
        <v>28</v>
      </c>
      <c r="C8" s="7">
        <v>43580</v>
      </c>
      <c r="D8" s="8">
        <v>68</v>
      </c>
      <c r="E8" s="9" t="s">
        <v>61</v>
      </c>
      <c r="F8" s="8" t="s">
        <v>75</v>
      </c>
      <c r="G8" s="9" t="s">
        <v>76</v>
      </c>
      <c r="H8" s="8" t="str">
        <f>"000014"</f>
        <v>000014</v>
      </c>
      <c r="I8" s="7">
        <v>42933</v>
      </c>
      <c r="J8" s="8" t="str">
        <f>"000199"</f>
        <v>000199</v>
      </c>
      <c r="K8" s="7">
        <v>43495</v>
      </c>
      <c r="L8" s="8" t="str">
        <f>"000197"</f>
        <v>000197</v>
      </c>
      <c r="M8" s="7">
        <v>43495</v>
      </c>
      <c r="N8" s="8">
        <v>16</v>
      </c>
      <c r="O8" s="8" t="str">
        <f>"000970"</f>
        <v>000970</v>
      </c>
      <c r="P8" s="7">
        <v>43579</v>
      </c>
      <c r="Q8" s="10">
        <v>11.15367</v>
      </c>
      <c r="R8" s="10">
        <v>1.10494</v>
      </c>
      <c r="S8" s="10">
        <v>10.048730000000001</v>
      </c>
      <c r="T8" s="8">
        <v>29</v>
      </c>
      <c r="U8" s="7">
        <v>43580</v>
      </c>
      <c r="V8" s="8">
        <v>9448281394</v>
      </c>
      <c r="W8" s="9" t="s">
        <v>51</v>
      </c>
      <c r="X8" s="8" t="s">
        <v>29</v>
      </c>
      <c r="Y8" s="9" t="s">
        <v>30</v>
      </c>
      <c r="Z8" s="8" t="s">
        <v>47</v>
      </c>
      <c r="AA8" s="9" t="s">
        <v>48</v>
      </c>
      <c r="AB8" s="10">
        <f t="shared" si="0"/>
        <v>0.1115367</v>
      </c>
    </row>
    <row r="9" spans="1:28" s="4" customFormat="1" ht="13" x14ac:dyDescent="0.3">
      <c r="A9" s="5">
        <v>2354</v>
      </c>
      <c r="B9" s="6" t="s">
        <v>34</v>
      </c>
      <c r="C9" s="7">
        <v>43591</v>
      </c>
      <c r="D9" s="8">
        <v>68</v>
      </c>
      <c r="E9" s="9" t="s">
        <v>61</v>
      </c>
      <c r="F9" s="8" t="s">
        <v>86</v>
      </c>
      <c r="G9" s="9" t="s">
        <v>87</v>
      </c>
      <c r="H9" s="8" t="str">
        <f>"000481"</f>
        <v>000481</v>
      </c>
      <c r="I9" s="7">
        <v>42808</v>
      </c>
      <c r="J9" s="8" t="str">
        <f>"000196"</f>
        <v>000196</v>
      </c>
      <c r="K9" s="7">
        <v>42915</v>
      </c>
      <c r="L9" s="8" t="str">
        <f>"000386"</f>
        <v>000386</v>
      </c>
      <c r="M9" s="7">
        <v>42916</v>
      </c>
      <c r="N9" s="8">
        <v>17</v>
      </c>
      <c r="O9" s="8" t="str">
        <f>"001262"</f>
        <v>001262</v>
      </c>
      <c r="P9" s="7">
        <v>43587</v>
      </c>
      <c r="Q9" s="10">
        <v>8.3431499999999996</v>
      </c>
      <c r="R9" s="10">
        <v>0.59070999999999996</v>
      </c>
      <c r="S9" s="10">
        <v>7.75244</v>
      </c>
      <c r="T9" s="8">
        <v>37</v>
      </c>
      <c r="U9" s="7">
        <v>43591</v>
      </c>
      <c r="V9" s="8">
        <v>8722773818</v>
      </c>
      <c r="W9" s="9" t="s">
        <v>88</v>
      </c>
      <c r="X9" s="8" t="s">
        <v>54</v>
      </c>
      <c r="Y9" s="9" t="s">
        <v>55</v>
      </c>
      <c r="Z9" s="8" t="s">
        <v>45</v>
      </c>
      <c r="AA9" s="9" t="s">
        <v>46</v>
      </c>
      <c r="AB9" s="10">
        <f t="shared" si="0"/>
        <v>8.3431499999999992E-2</v>
      </c>
    </row>
    <row r="10" spans="1:28" s="4" customFormat="1" ht="13" x14ac:dyDescent="0.3">
      <c r="A10" s="5">
        <v>2355</v>
      </c>
      <c r="B10" s="6" t="s">
        <v>34</v>
      </c>
      <c r="C10" s="7">
        <v>43591</v>
      </c>
      <c r="D10" s="8">
        <v>68</v>
      </c>
      <c r="E10" s="9" t="s">
        <v>61</v>
      </c>
      <c r="F10" s="8" t="s">
        <v>89</v>
      </c>
      <c r="G10" s="9" t="s">
        <v>90</v>
      </c>
      <c r="H10" s="8" t="str">
        <f>"000059"</f>
        <v>000059</v>
      </c>
      <c r="I10" s="7">
        <v>42902</v>
      </c>
      <c r="J10" s="8" t="str">
        <f>"000016"</f>
        <v>000016</v>
      </c>
      <c r="K10" s="7">
        <v>42978</v>
      </c>
      <c r="L10" s="8" t="str">
        <f>"000018"</f>
        <v>000018</v>
      </c>
      <c r="M10" s="7">
        <v>42978</v>
      </c>
      <c r="N10" s="8">
        <v>17</v>
      </c>
      <c r="O10" s="8" t="str">
        <f>"001296"</f>
        <v>001296</v>
      </c>
      <c r="P10" s="7">
        <v>43587</v>
      </c>
      <c r="Q10" s="10">
        <v>29.715440000000001</v>
      </c>
      <c r="R10" s="10">
        <v>4.3467500000000001</v>
      </c>
      <c r="S10" s="10">
        <v>25.368690000000001</v>
      </c>
      <c r="T10" s="8">
        <v>37</v>
      </c>
      <c r="U10" s="7">
        <v>43591</v>
      </c>
      <c r="V10" s="8">
        <v>9900333496</v>
      </c>
      <c r="W10" s="9" t="s">
        <v>42</v>
      </c>
      <c r="X10" s="8" t="s">
        <v>43</v>
      </c>
      <c r="Y10" s="9" t="s">
        <v>44</v>
      </c>
      <c r="Z10" s="8" t="s">
        <v>45</v>
      </c>
      <c r="AA10" s="9" t="s">
        <v>46</v>
      </c>
      <c r="AB10" s="10">
        <f t="shared" si="0"/>
        <v>0.29715439999999999</v>
      </c>
    </row>
    <row r="11" spans="1:28" s="4" customFormat="1" ht="13" x14ac:dyDescent="0.3">
      <c r="A11" s="5">
        <v>2356</v>
      </c>
      <c r="B11" s="6" t="s">
        <v>34</v>
      </c>
      <c r="C11" s="7">
        <v>43591</v>
      </c>
      <c r="D11" s="8">
        <v>68</v>
      </c>
      <c r="E11" s="9" t="s">
        <v>61</v>
      </c>
      <c r="F11" s="8" t="s">
        <v>91</v>
      </c>
      <c r="G11" s="9" t="s">
        <v>92</v>
      </c>
      <c r="H11" s="8" t="str">
        <f>"000004"</f>
        <v>000004</v>
      </c>
      <c r="I11" s="7">
        <v>42845</v>
      </c>
      <c r="J11" s="8" t="str">
        <f>"000010"</f>
        <v>000010</v>
      </c>
      <c r="K11" s="7">
        <v>42969</v>
      </c>
      <c r="L11" s="8" t="str">
        <f>"000010"</f>
        <v>000010</v>
      </c>
      <c r="M11" s="7">
        <v>42969</v>
      </c>
      <c r="N11" s="8">
        <v>17</v>
      </c>
      <c r="O11" s="8" t="str">
        <f>"001308"</f>
        <v>001308</v>
      </c>
      <c r="P11" s="7">
        <v>43587</v>
      </c>
      <c r="Q11" s="10">
        <v>18.28668</v>
      </c>
      <c r="R11" s="10">
        <v>1.13263</v>
      </c>
      <c r="S11" s="10">
        <v>17.154050000000002</v>
      </c>
      <c r="T11" s="8">
        <v>37</v>
      </c>
      <c r="U11" s="7">
        <v>43591</v>
      </c>
      <c r="V11" s="8">
        <v>0</v>
      </c>
      <c r="W11" s="9" t="s">
        <v>93</v>
      </c>
      <c r="X11" s="8" t="s">
        <v>58</v>
      </c>
      <c r="Y11" s="9" t="s">
        <v>59</v>
      </c>
      <c r="Z11" s="8" t="s">
        <v>45</v>
      </c>
      <c r="AA11" s="9" t="s">
        <v>46</v>
      </c>
      <c r="AB11" s="10">
        <f t="shared" si="0"/>
        <v>0.1828668</v>
      </c>
    </row>
    <row r="12" spans="1:28" s="4" customFormat="1" ht="13" x14ac:dyDescent="0.3">
      <c r="A12" s="5">
        <v>2357</v>
      </c>
      <c r="B12" s="6" t="s">
        <v>34</v>
      </c>
      <c r="C12" s="7">
        <v>43602</v>
      </c>
      <c r="D12" s="8">
        <v>68</v>
      </c>
      <c r="E12" s="9" t="s">
        <v>61</v>
      </c>
      <c r="F12" s="8" t="s">
        <v>94</v>
      </c>
      <c r="G12" s="9" t="s">
        <v>95</v>
      </c>
      <c r="H12" s="8" t="str">
        <f>"000460"</f>
        <v>000460</v>
      </c>
      <c r="I12" s="7">
        <v>42802</v>
      </c>
      <c r="J12" s="8" t="str">
        <f>"000008"</f>
        <v>000008</v>
      </c>
      <c r="K12" s="7">
        <v>42968</v>
      </c>
      <c r="L12" s="8" t="str">
        <f>"000006"</f>
        <v>000006</v>
      </c>
      <c r="M12" s="7">
        <v>42968</v>
      </c>
      <c r="N12" s="8">
        <v>17</v>
      </c>
      <c r="O12" s="8" t="str">
        <f>"001490"</f>
        <v>001490</v>
      </c>
      <c r="P12" s="7">
        <v>43599</v>
      </c>
      <c r="Q12" s="10">
        <v>9.5668100000000003</v>
      </c>
      <c r="R12" s="10">
        <v>0.68133999999999995</v>
      </c>
      <c r="S12" s="10">
        <v>8.8854699999999998</v>
      </c>
      <c r="T12" s="8">
        <v>49</v>
      </c>
      <c r="U12" s="7">
        <v>43602</v>
      </c>
      <c r="V12" s="8">
        <v>0</v>
      </c>
      <c r="W12" s="9" t="s">
        <v>96</v>
      </c>
      <c r="X12" s="8" t="s">
        <v>54</v>
      </c>
      <c r="Y12" s="9" t="s">
        <v>55</v>
      </c>
      <c r="Z12" s="8" t="s">
        <v>45</v>
      </c>
      <c r="AA12" s="9" t="s">
        <v>46</v>
      </c>
      <c r="AB12" s="10">
        <f t="shared" si="0"/>
        <v>9.5668100000000006E-2</v>
      </c>
    </row>
    <row r="13" spans="1:28" s="4" customFormat="1" ht="13" x14ac:dyDescent="0.3">
      <c r="A13" s="5">
        <v>2358</v>
      </c>
      <c r="B13" s="6" t="s">
        <v>34</v>
      </c>
      <c r="C13" s="7">
        <v>43602</v>
      </c>
      <c r="D13" s="8">
        <v>68</v>
      </c>
      <c r="E13" s="9" t="s">
        <v>61</v>
      </c>
      <c r="F13" s="8" t="s">
        <v>97</v>
      </c>
      <c r="G13" s="9" t="s">
        <v>98</v>
      </c>
      <c r="H13" s="8" t="str">
        <f>"000048"</f>
        <v>000048</v>
      </c>
      <c r="I13" s="7">
        <v>42885</v>
      </c>
      <c r="J13" s="8" t="str">
        <f>"000017"</f>
        <v>000017</v>
      </c>
      <c r="K13" s="7">
        <v>42979</v>
      </c>
      <c r="L13" s="8" t="str">
        <f>"000020"</f>
        <v>000020</v>
      </c>
      <c r="M13" s="7">
        <v>42979</v>
      </c>
      <c r="N13" s="8">
        <v>17</v>
      </c>
      <c r="O13" s="8" t="str">
        <f>"001491"</f>
        <v>001491</v>
      </c>
      <c r="P13" s="7">
        <v>43599</v>
      </c>
      <c r="Q13" s="10">
        <v>34.664299999999997</v>
      </c>
      <c r="R13" s="10">
        <v>5.4620800000000003</v>
      </c>
      <c r="S13" s="10">
        <v>29.202220000000001</v>
      </c>
      <c r="T13" s="8">
        <v>49</v>
      </c>
      <c r="U13" s="7">
        <v>43602</v>
      </c>
      <c r="V13" s="8">
        <v>9900333496</v>
      </c>
      <c r="W13" s="9" t="s">
        <v>42</v>
      </c>
      <c r="X13" s="8" t="s">
        <v>40</v>
      </c>
      <c r="Y13" s="9" t="s">
        <v>41</v>
      </c>
      <c r="Z13" s="8" t="s">
        <v>45</v>
      </c>
      <c r="AA13" s="9" t="s">
        <v>46</v>
      </c>
      <c r="AB13" s="10">
        <f t="shared" si="0"/>
        <v>0.34664299999999998</v>
      </c>
    </row>
    <row r="14" spans="1:28" s="4" customFormat="1" ht="13" x14ac:dyDescent="0.3">
      <c r="A14" s="5">
        <v>2359</v>
      </c>
      <c r="B14" s="6" t="s">
        <v>34</v>
      </c>
      <c r="C14" s="7">
        <v>43602</v>
      </c>
      <c r="D14" s="8">
        <v>68</v>
      </c>
      <c r="E14" s="9" t="s">
        <v>61</v>
      </c>
      <c r="F14" s="8" t="s">
        <v>99</v>
      </c>
      <c r="G14" s="9" t="s">
        <v>100</v>
      </c>
      <c r="H14" s="8" t="str">
        <f>"000065"</f>
        <v>000065</v>
      </c>
      <c r="I14" s="7">
        <v>42902</v>
      </c>
      <c r="J14" s="8" t="str">
        <f>"000018"</f>
        <v>000018</v>
      </c>
      <c r="K14" s="7">
        <v>42979</v>
      </c>
      <c r="L14" s="8" t="str">
        <f>"000021"</f>
        <v>000021</v>
      </c>
      <c r="M14" s="7">
        <v>42979</v>
      </c>
      <c r="N14" s="8">
        <v>17</v>
      </c>
      <c r="O14" s="8" t="str">
        <f>"001492"</f>
        <v>001492</v>
      </c>
      <c r="P14" s="7">
        <v>43599</v>
      </c>
      <c r="Q14" s="10">
        <v>24.75273</v>
      </c>
      <c r="R14" s="10">
        <v>3.7898700000000001</v>
      </c>
      <c r="S14" s="10">
        <v>20.962859999999999</v>
      </c>
      <c r="T14" s="8">
        <v>49</v>
      </c>
      <c r="U14" s="7">
        <v>43602</v>
      </c>
      <c r="V14" s="8">
        <v>9900333496</v>
      </c>
      <c r="W14" s="9" t="s">
        <v>42</v>
      </c>
      <c r="X14" s="8" t="s">
        <v>43</v>
      </c>
      <c r="Y14" s="9" t="s">
        <v>44</v>
      </c>
      <c r="Z14" s="8" t="s">
        <v>45</v>
      </c>
      <c r="AA14" s="9" t="s">
        <v>46</v>
      </c>
      <c r="AB14" s="10">
        <f t="shared" si="0"/>
        <v>0.24752730000000001</v>
      </c>
    </row>
    <row r="15" spans="1:28" s="4" customFormat="1" ht="13" x14ac:dyDescent="0.3">
      <c r="A15" s="5">
        <v>2360</v>
      </c>
      <c r="B15" s="6" t="s">
        <v>34</v>
      </c>
      <c r="C15" s="7">
        <v>43602</v>
      </c>
      <c r="D15" s="8">
        <v>68</v>
      </c>
      <c r="E15" s="9" t="s">
        <v>61</v>
      </c>
      <c r="F15" s="8" t="s">
        <v>101</v>
      </c>
      <c r="G15" s="9" t="s">
        <v>102</v>
      </c>
      <c r="H15" s="8" t="str">
        <f>"000050"</f>
        <v>000050</v>
      </c>
      <c r="I15" s="7">
        <v>42885</v>
      </c>
      <c r="J15" s="8" t="str">
        <f>"000020"</f>
        <v>000020</v>
      </c>
      <c r="K15" s="7">
        <v>42979</v>
      </c>
      <c r="L15" s="8" t="str">
        <f>"000023"</f>
        <v>000023</v>
      </c>
      <c r="M15" s="7">
        <v>42979</v>
      </c>
      <c r="N15" s="8">
        <v>17</v>
      </c>
      <c r="O15" s="8" t="str">
        <f>"001493"</f>
        <v>001493</v>
      </c>
      <c r="P15" s="7">
        <v>43599</v>
      </c>
      <c r="Q15" s="10">
        <v>19.805730000000001</v>
      </c>
      <c r="R15" s="10">
        <v>3.0297399999999999</v>
      </c>
      <c r="S15" s="10">
        <v>16.77599</v>
      </c>
      <c r="T15" s="8">
        <v>49</v>
      </c>
      <c r="U15" s="7">
        <v>43602</v>
      </c>
      <c r="V15" s="8">
        <v>9900333496</v>
      </c>
      <c r="W15" s="9" t="s">
        <v>42</v>
      </c>
      <c r="X15" s="8" t="s">
        <v>40</v>
      </c>
      <c r="Y15" s="9" t="s">
        <v>41</v>
      </c>
      <c r="Z15" s="8" t="s">
        <v>45</v>
      </c>
      <c r="AA15" s="9" t="s">
        <v>46</v>
      </c>
      <c r="AB15" s="10">
        <f t="shared" si="0"/>
        <v>0.19805729999999999</v>
      </c>
    </row>
    <row r="16" spans="1:28" s="4" customFormat="1" ht="13" x14ac:dyDescent="0.3">
      <c r="A16" s="5">
        <v>2361</v>
      </c>
      <c r="B16" s="6" t="s">
        <v>34</v>
      </c>
      <c r="C16" s="7">
        <v>43602</v>
      </c>
      <c r="D16" s="8">
        <v>68</v>
      </c>
      <c r="E16" s="9" t="s">
        <v>61</v>
      </c>
      <c r="F16" s="8" t="s">
        <v>103</v>
      </c>
      <c r="G16" s="9" t="s">
        <v>104</v>
      </c>
      <c r="H16" s="8" t="str">
        <f>"000402"</f>
        <v>000402</v>
      </c>
      <c r="I16" s="7">
        <v>42731</v>
      </c>
      <c r="J16" s="8" t="str">
        <f>"000034"</f>
        <v>000034</v>
      </c>
      <c r="K16" s="7">
        <v>43003</v>
      </c>
      <c r="L16" s="8" t="str">
        <f>"000061"</f>
        <v>000061</v>
      </c>
      <c r="M16" s="7">
        <v>43004</v>
      </c>
      <c r="N16" s="8">
        <v>17</v>
      </c>
      <c r="O16" s="8" t="str">
        <f>"001556"</f>
        <v>001556</v>
      </c>
      <c r="P16" s="7">
        <v>43599</v>
      </c>
      <c r="Q16" s="10">
        <v>19.78838</v>
      </c>
      <c r="R16" s="10">
        <v>2.8051599999999999</v>
      </c>
      <c r="S16" s="10">
        <v>16.983219999999999</v>
      </c>
      <c r="T16" s="8">
        <v>49</v>
      </c>
      <c r="U16" s="7">
        <v>43602</v>
      </c>
      <c r="V16" s="8">
        <v>9900333496</v>
      </c>
      <c r="W16" s="9" t="s">
        <v>42</v>
      </c>
      <c r="X16" s="8" t="s">
        <v>43</v>
      </c>
      <c r="Y16" s="9" t="s">
        <v>44</v>
      </c>
      <c r="Z16" s="8" t="s">
        <v>45</v>
      </c>
      <c r="AA16" s="9" t="s">
        <v>46</v>
      </c>
      <c r="AB16" s="10">
        <f t="shared" si="0"/>
        <v>0.1978838</v>
      </c>
    </row>
    <row r="17" spans="1:28" s="4" customFormat="1" ht="13" x14ac:dyDescent="0.3">
      <c r="A17" s="5">
        <v>2362</v>
      </c>
      <c r="B17" s="6" t="s">
        <v>34</v>
      </c>
      <c r="C17" s="7">
        <v>43602</v>
      </c>
      <c r="D17" s="8">
        <v>68</v>
      </c>
      <c r="E17" s="9" t="s">
        <v>61</v>
      </c>
      <c r="F17" s="8" t="s">
        <v>105</v>
      </c>
      <c r="G17" s="9" t="s">
        <v>106</v>
      </c>
      <c r="H17" s="8" t="str">
        <f>"000005"</f>
        <v>000005</v>
      </c>
      <c r="I17" s="7">
        <v>42849</v>
      </c>
      <c r="J17" s="8" t="str">
        <f>"000036"</f>
        <v>000036</v>
      </c>
      <c r="K17" s="7">
        <v>43003</v>
      </c>
      <c r="L17" s="8" t="str">
        <f>"000063"</f>
        <v>000063</v>
      </c>
      <c r="M17" s="7">
        <v>43004</v>
      </c>
      <c r="N17" s="8">
        <v>17</v>
      </c>
      <c r="O17" s="8" t="str">
        <f>"001557"</f>
        <v>001557</v>
      </c>
      <c r="P17" s="7">
        <v>43599</v>
      </c>
      <c r="Q17" s="10">
        <v>29.667850000000001</v>
      </c>
      <c r="R17" s="10">
        <v>4.2095099999999999</v>
      </c>
      <c r="S17" s="10">
        <v>25.45834</v>
      </c>
      <c r="T17" s="8">
        <v>49</v>
      </c>
      <c r="U17" s="7">
        <v>43602</v>
      </c>
      <c r="V17" s="8">
        <v>9900333496</v>
      </c>
      <c r="W17" s="9" t="s">
        <v>42</v>
      </c>
      <c r="X17" s="8" t="s">
        <v>49</v>
      </c>
      <c r="Y17" s="9" t="s">
        <v>50</v>
      </c>
      <c r="Z17" s="8" t="s">
        <v>45</v>
      </c>
      <c r="AA17" s="9" t="s">
        <v>46</v>
      </c>
      <c r="AB17" s="10">
        <f t="shared" si="0"/>
        <v>0.29667850000000001</v>
      </c>
    </row>
    <row r="18" spans="1:28" s="4" customFormat="1" ht="13" x14ac:dyDescent="0.3">
      <c r="A18" s="5">
        <v>2363</v>
      </c>
      <c r="B18" s="6" t="s">
        <v>34</v>
      </c>
      <c r="C18" s="7">
        <v>43602</v>
      </c>
      <c r="D18" s="8">
        <v>68</v>
      </c>
      <c r="E18" s="9" t="s">
        <v>61</v>
      </c>
      <c r="F18" s="8" t="s">
        <v>107</v>
      </c>
      <c r="G18" s="9" t="s">
        <v>108</v>
      </c>
      <c r="H18" s="8" t="str">
        <f>"000087"</f>
        <v>000087</v>
      </c>
      <c r="I18" s="7">
        <v>42943</v>
      </c>
      <c r="J18" s="8" t="str">
        <f>"000037"</f>
        <v>000037</v>
      </c>
      <c r="K18" s="7">
        <v>43003</v>
      </c>
      <c r="L18" s="8" t="str">
        <f>"000067"</f>
        <v>000067</v>
      </c>
      <c r="M18" s="7">
        <v>43004</v>
      </c>
      <c r="N18" s="8">
        <v>17</v>
      </c>
      <c r="O18" s="8" t="str">
        <f>"001558"</f>
        <v>001558</v>
      </c>
      <c r="P18" s="7">
        <v>43599</v>
      </c>
      <c r="Q18" s="10">
        <v>19.778700000000001</v>
      </c>
      <c r="R18" s="10">
        <v>2.8573599999999999</v>
      </c>
      <c r="S18" s="10">
        <v>16.921340000000001</v>
      </c>
      <c r="T18" s="8">
        <v>49</v>
      </c>
      <c r="U18" s="7">
        <v>43602</v>
      </c>
      <c r="V18" s="8">
        <v>9900333496</v>
      </c>
      <c r="W18" s="9" t="s">
        <v>42</v>
      </c>
      <c r="X18" s="8" t="s">
        <v>40</v>
      </c>
      <c r="Y18" s="9" t="s">
        <v>41</v>
      </c>
      <c r="Z18" s="8" t="s">
        <v>45</v>
      </c>
      <c r="AA18" s="9" t="s">
        <v>46</v>
      </c>
      <c r="AB18" s="10">
        <f t="shared" si="0"/>
        <v>0.19778700000000002</v>
      </c>
    </row>
    <row r="19" spans="1:28" s="4" customFormat="1" ht="13" x14ac:dyDescent="0.3">
      <c r="A19" s="5">
        <v>2364</v>
      </c>
      <c r="B19" s="6" t="s">
        <v>34</v>
      </c>
      <c r="C19" s="7">
        <v>43602</v>
      </c>
      <c r="D19" s="8">
        <v>68</v>
      </c>
      <c r="E19" s="9" t="s">
        <v>61</v>
      </c>
      <c r="F19" s="8" t="s">
        <v>109</v>
      </c>
      <c r="G19" s="9" t="s">
        <v>110</v>
      </c>
      <c r="H19" s="8" t="str">
        <f>"000005"</f>
        <v>000005</v>
      </c>
      <c r="I19" s="7">
        <v>42492</v>
      </c>
      <c r="J19" s="8" t="str">
        <f>"000042"</f>
        <v>000042</v>
      </c>
      <c r="K19" s="7">
        <v>43004</v>
      </c>
      <c r="L19" s="8" t="str">
        <f>"000069"</f>
        <v>000069</v>
      </c>
      <c r="M19" s="7">
        <v>43004</v>
      </c>
      <c r="N19" s="8">
        <v>16</v>
      </c>
      <c r="O19" s="8" t="str">
        <f>"001559"</f>
        <v>001559</v>
      </c>
      <c r="P19" s="7">
        <v>43599</v>
      </c>
      <c r="Q19" s="10">
        <v>2.95662</v>
      </c>
      <c r="R19" s="10">
        <v>0.32993</v>
      </c>
      <c r="S19" s="10">
        <v>2.62669</v>
      </c>
      <c r="T19" s="8">
        <v>49</v>
      </c>
      <c r="U19" s="7">
        <v>43602</v>
      </c>
      <c r="V19" s="8">
        <v>8954785125</v>
      </c>
      <c r="W19" s="9" t="s">
        <v>111</v>
      </c>
      <c r="X19" s="8" t="s">
        <v>32</v>
      </c>
      <c r="Y19" s="9" t="s">
        <v>33</v>
      </c>
      <c r="Z19" s="8" t="s">
        <v>45</v>
      </c>
      <c r="AA19" s="9" t="s">
        <v>46</v>
      </c>
      <c r="AB19" s="10">
        <f t="shared" si="0"/>
        <v>2.9566200000000001E-2</v>
      </c>
    </row>
    <row r="20" spans="1:28" s="4" customFormat="1" ht="13" x14ac:dyDescent="0.3">
      <c r="A20" s="5">
        <v>2365</v>
      </c>
      <c r="B20" s="6" t="s">
        <v>34</v>
      </c>
      <c r="C20" s="7">
        <v>43603</v>
      </c>
      <c r="D20" s="8">
        <v>68</v>
      </c>
      <c r="E20" s="9" t="s">
        <v>61</v>
      </c>
      <c r="F20" s="8" t="s">
        <v>112</v>
      </c>
      <c r="G20" s="9" t="s">
        <v>113</v>
      </c>
      <c r="H20" s="8" t="str">
        <f>"000113"</f>
        <v>000113</v>
      </c>
      <c r="I20" s="7">
        <v>41570</v>
      </c>
      <c r="J20" s="8" t="str">
        <f>"000048"</f>
        <v>000048</v>
      </c>
      <c r="K20" s="7">
        <v>43015</v>
      </c>
      <c r="L20" s="8" t="str">
        <f>"000074"</f>
        <v>000074</v>
      </c>
      <c r="M20" s="7">
        <v>43015</v>
      </c>
      <c r="N20" s="8">
        <v>12</v>
      </c>
      <c r="O20" s="8" t="str">
        <f>"001675"</f>
        <v>001675</v>
      </c>
      <c r="P20" s="7">
        <v>43602</v>
      </c>
      <c r="Q20" s="10">
        <v>4.9870599999999996</v>
      </c>
      <c r="R20" s="10">
        <v>0.81389999999999996</v>
      </c>
      <c r="S20" s="10">
        <v>4.1731600000000002</v>
      </c>
      <c r="T20" s="8">
        <v>50</v>
      </c>
      <c r="U20" s="7">
        <v>43603</v>
      </c>
      <c r="V20" s="8">
        <v>0</v>
      </c>
      <c r="W20" s="9" t="s">
        <v>114</v>
      </c>
      <c r="X20" s="8" t="s">
        <v>32</v>
      </c>
      <c r="Y20" s="9" t="s">
        <v>33</v>
      </c>
      <c r="Z20" s="8" t="s">
        <v>45</v>
      </c>
      <c r="AA20" s="9" t="s">
        <v>46</v>
      </c>
      <c r="AB20" s="10">
        <f t="shared" si="0"/>
        <v>4.9870599999999994E-2</v>
      </c>
    </row>
    <row r="21" spans="1:28" s="4" customFormat="1" ht="13" x14ac:dyDescent="0.3">
      <c r="A21" s="5">
        <v>2366</v>
      </c>
      <c r="B21" s="6" t="s">
        <v>34</v>
      </c>
      <c r="C21" s="7">
        <v>43603</v>
      </c>
      <c r="D21" s="8">
        <v>68</v>
      </c>
      <c r="E21" s="9" t="s">
        <v>61</v>
      </c>
      <c r="F21" s="8" t="s">
        <v>115</v>
      </c>
      <c r="G21" s="9" t="s">
        <v>116</v>
      </c>
      <c r="H21" s="8" t="str">
        <f>"000049"</f>
        <v>000049</v>
      </c>
      <c r="I21" s="7">
        <v>42885</v>
      </c>
      <c r="J21" s="8" t="str">
        <f>"000019"</f>
        <v>000019</v>
      </c>
      <c r="K21" s="7">
        <v>42979</v>
      </c>
      <c r="L21" s="8" t="str">
        <f>"000022"</f>
        <v>000022</v>
      </c>
      <c r="M21" s="7">
        <v>42979</v>
      </c>
      <c r="N21" s="8">
        <v>17</v>
      </c>
      <c r="O21" s="8" t="str">
        <f>"001726"</f>
        <v>001726</v>
      </c>
      <c r="P21" s="7">
        <v>43602</v>
      </c>
      <c r="Q21" s="10">
        <v>19.803979999999999</v>
      </c>
      <c r="R21" s="10">
        <v>3.0142899999999999</v>
      </c>
      <c r="S21" s="10">
        <v>16.78969</v>
      </c>
      <c r="T21" s="8">
        <v>50</v>
      </c>
      <c r="U21" s="7">
        <v>43603</v>
      </c>
      <c r="V21" s="8">
        <v>9900333496</v>
      </c>
      <c r="W21" s="9" t="s">
        <v>42</v>
      </c>
      <c r="X21" s="8" t="s">
        <v>40</v>
      </c>
      <c r="Y21" s="9" t="s">
        <v>41</v>
      </c>
      <c r="Z21" s="8" t="s">
        <v>45</v>
      </c>
      <c r="AA21" s="9" t="s">
        <v>46</v>
      </c>
      <c r="AB21" s="10">
        <f t="shared" si="0"/>
        <v>0.19803979999999999</v>
      </c>
    </row>
    <row r="22" spans="1:28" s="4" customFormat="1" ht="13" x14ac:dyDescent="0.3">
      <c r="A22" s="5">
        <v>2367</v>
      </c>
      <c r="B22" s="6" t="s">
        <v>34</v>
      </c>
      <c r="C22" s="7">
        <v>43607</v>
      </c>
      <c r="D22" s="8">
        <v>68</v>
      </c>
      <c r="E22" s="9" t="s">
        <v>61</v>
      </c>
      <c r="F22" s="8" t="s">
        <v>117</v>
      </c>
      <c r="G22" s="9" t="s">
        <v>118</v>
      </c>
      <c r="H22" s="8" t="str">
        <f>"000073"</f>
        <v>000073</v>
      </c>
      <c r="I22" s="7">
        <v>42937</v>
      </c>
      <c r="J22" s="8" t="str">
        <f>"000184"</f>
        <v>000184</v>
      </c>
      <c r="K22" s="7">
        <v>43185</v>
      </c>
      <c r="L22" s="8" t="str">
        <f>"000031"</f>
        <v>000031</v>
      </c>
      <c r="M22" s="7">
        <v>43207</v>
      </c>
      <c r="N22" s="8">
        <v>17</v>
      </c>
      <c r="O22" s="8" t="str">
        <f>"001573"</f>
        <v>001573</v>
      </c>
      <c r="P22" s="7">
        <v>43600</v>
      </c>
      <c r="Q22" s="10">
        <v>28.430520000000001</v>
      </c>
      <c r="R22" s="10">
        <v>3.5509900000000001</v>
      </c>
      <c r="S22" s="10">
        <v>24.879529999999999</v>
      </c>
      <c r="T22" s="8">
        <v>56</v>
      </c>
      <c r="U22" s="7">
        <v>43607</v>
      </c>
      <c r="V22" s="8">
        <v>9900333496</v>
      </c>
      <c r="W22" s="9" t="s">
        <v>42</v>
      </c>
      <c r="X22" s="8" t="s">
        <v>43</v>
      </c>
      <c r="Y22" s="9" t="s">
        <v>44</v>
      </c>
      <c r="Z22" s="8" t="s">
        <v>45</v>
      </c>
      <c r="AA22" s="9" t="s">
        <v>46</v>
      </c>
      <c r="AB22" s="10">
        <f t="shared" si="0"/>
        <v>0.28430520000000004</v>
      </c>
    </row>
    <row r="23" spans="1:28" s="4" customFormat="1" ht="13" x14ac:dyDescent="0.3">
      <c r="A23" s="5">
        <v>2368</v>
      </c>
      <c r="B23" s="6" t="s">
        <v>34</v>
      </c>
      <c r="C23" s="7">
        <v>43610</v>
      </c>
      <c r="D23" s="8">
        <v>68</v>
      </c>
      <c r="E23" s="9" t="s">
        <v>61</v>
      </c>
      <c r="F23" s="8" t="s">
        <v>119</v>
      </c>
      <c r="G23" s="9" t="s">
        <v>120</v>
      </c>
      <c r="H23" s="8" t="str">
        <f>"000116"</f>
        <v>000116</v>
      </c>
      <c r="I23" s="7">
        <v>43137</v>
      </c>
      <c r="J23" s="8" t="str">
        <f>"000100"</f>
        <v>000100</v>
      </c>
      <c r="K23" s="7">
        <v>43154</v>
      </c>
      <c r="L23" s="8" t="str">
        <f>"000126"</f>
        <v>000126</v>
      </c>
      <c r="M23" s="7">
        <v>43154</v>
      </c>
      <c r="N23" s="8">
        <v>17</v>
      </c>
      <c r="O23" s="8" t="str">
        <f>"002008"</f>
        <v>002008</v>
      </c>
      <c r="P23" s="7">
        <v>43608</v>
      </c>
      <c r="Q23" s="10">
        <v>24.965879999999999</v>
      </c>
      <c r="R23" s="10">
        <v>3.1460499999999998</v>
      </c>
      <c r="S23" s="10">
        <v>21.81983</v>
      </c>
      <c r="T23" s="8">
        <v>59</v>
      </c>
      <c r="U23" s="7">
        <v>43610</v>
      </c>
      <c r="V23" s="8">
        <v>9845008155</v>
      </c>
      <c r="W23" s="9" t="s">
        <v>60</v>
      </c>
      <c r="X23" s="8" t="s">
        <v>38</v>
      </c>
      <c r="Y23" s="9" t="s">
        <v>39</v>
      </c>
      <c r="Z23" s="8" t="s">
        <v>47</v>
      </c>
      <c r="AA23" s="9" t="s">
        <v>48</v>
      </c>
      <c r="AB23" s="10">
        <f t="shared" si="0"/>
        <v>0.24965879999999999</v>
      </c>
    </row>
    <row r="24" spans="1:28" s="4" customFormat="1" ht="13" x14ac:dyDescent="0.3">
      <c r="A24" s="5">
        <v>2369</v>
      </c>
      <c r="B24" s="6" t="s">
        <v>31</v>
      </c>
      <c r="C24" s="7">
        <v>43628</v>
      </c>
      <c r="D24" s="8">
        <v>68</v>
      </c>
      <c r="E24" s="9" t="s">
        <v>61</v>
      </c>
      <c r="F24" s="8" t="s">
        <v>77</v>
      </c>
      <c r="G24" s="9" t="s">
        <v>78</v>
      </c>
      <c r="H24" s="8" t="str">
        <f>"000086"</f>
        <v>000086</v>
      </c>
      <c r="I24" s="7">
        <v>42943</v>
      </c>
      <c r="J24" s="8" t="str">
        <f>"000038"</f>
        <v>000038</v>
      </c>
      <c r="K24" s="7">
        <v>43003</v>
      </c>
      <c r="L24" s="8" t="str">
        <f>"000068"</f>
        <v>000068</v>
      </c>
      <c r="M24" s="7">
        <v>43004</v>
      </c>
      <c r="N24" s="8">
        <v>17</v>
      </c>
      <c r="O24" s="8" t="str">
        <f>"002425"</f>
        <v>002425</v>
      </c>
      <c r="P24" s="7">
        <v>43622</v>
      </c>
      <c r="Q24" s="10">
        <v>19.783390000000001</v>
      </c>
      <c r="R24" s="10">
        <v>2.8229500000000001</v>
      </c>
      <c r="S24" s="10">
        <v>16.960439999999998</v>
      </c>
      <c r="T24" s="8">
        <v>76</v>
      </c>
      <c r="U24" s="7">
        <v>43628</v>
      </c>
      <c r="V24" s="8">
        <v>9900333496</v>
      </c>
      <c r="W24" s="9" t="s">
        <v>42</v>
      </c>
      <c r="X24" s="8" t="s">
        <v>43</v>
      </c>
      <c r="Y24" s="9" t="s">
        <v>44</v>
      </c>
      <c r="Z24" s="8" t="s">
        <v>45</v>
      </c>
      <c r="AA24" s="9" t="s">
        <v>46</v>
      </c>
      <c r="AB24" s="10">
        <v>0.19783390000000001</v>
      </c>
    </row>
    <row r="25" spans="1:28" s="4" customFormat="1" ht="13" x14ac:dyDescent="0.3">
      <c r="A25" s="5">
        <v>2370</v>
      </c>
      <c r="B25" s="6" t="s">
        <v>31</v>
      </c>
      <c r="C25" s="7">
        <v>43628</v>
      </c>
      <c r="D25" s="8">
        <v>68</v>
      </c>
      <c r="E25" s="9" t="s">
        <v>61</v>
      </c>
      <c r="F25" s="8" t="s">
        <v>79</v>
      </c>
      <c r="G25" s="9" t="s">
        <v>80</v>
      </c>
      <c r="H25" s="8" t="str">
        <f>"000100"</f>
        <v>000100</v>
      </c>
      <c r="I25" s="7">
        <v>42913</v>
      </c>
      <c r="J25" s="8" t="str">
        <f>"000061"</f>
        <v>000061</v>
      </c>
      <c r="K25" s="7">
        <v>43048</v>
      </c>
      <c r="L25" s="8" t="str">
        <f>"000118"</f>
        <v>000118</v>
      </c>
      <c r="M25" s="7">
        <v>43080</v>
      </c>
      <c r="N25" s="8">
        <v>17</v>
      </c>
      <c r="O25" s="8" t="str">
        <f>"002454"</f>
        <v>002454</v>
      </c>
      <c r="P25" s="7">
        <v>43622</v>
      </c>
      <c r="Q25" s="10">
        <v>19.533650000000002</v>
      </c>
      <c r="R25" s="10">
        <v>2.3025099999999998</v>
      </c>
      <c r="S25" s="10">
        <v>17.23114</v>
      </c>
      <c r="T25" s="8">
        <v>76</v>
      </c>
      <c r="U25" s="7">
        <v>43628</v>
      </c>
      <c r="V25" s="8">
        <v>9900333496</v>
      </c>
      <c r="W25" s="9" t="s">
        <v>42</v>
      </c>
      <c r="X25" s="8" t="s">
        <v>52</v>
      </c>
      <c r="Y25" s="9" t="s">
        <v>53</v>
      </c>
      <c r="Z25" s="8" t="s">
        <v>45</v>
      </c>
      <c r="AA25" s="9" t="s">
        <v>46</v>
      </c>
      <c r="AB25" s="10">
        <v>0.19533650000000002</v>
      </c>
    </row>
    <row r="26" spans="1:28" s="4" customFormat="1" ht="13" x14ac:dyDescent="0.3">
      <c r="A26" s="5">
        <v>2371</v>
      </c>
      <c r="B26" s="6" t="s">
        <v>31</v>
      </c>
      <c r="C26" s="7">
        <v>43636</v>
      </c>
      <c r="D26" s="8">
        <v>68</v>
      </c>
      <c r="E26" s="9" t="s">
        <v>61</v>
      </c>
      <c r="F26" s="8" t="s">
        <v>81</v>
      </c>
      <c r="G26" s="9" t="s">
        <v>82</v>
      </c>
      <c r="H26" s="8" t="str">
        <f>"000016"</f>
        <v>000016</v>
      </c>
      <c r="I26" s="7">
        <v>42934</v>
      </c>
      <c r="J26" s="8" t="str">
        <f>"000075"</f>
        <v>000075</v>
      </c>
      <c r="K26" s="7">
        <v>43082</v>
      </c>
      <c r="L26" s="8" t="str">
        <f>"000135"</f>
        <v>000135</v>
      </c>
      <c r="M26" s="7">
        <v>43083</v>
      </c>
      <c r="N26" s="8">
        <v>17</v>
      </c>
      <c r="O26" s="8" t="str">
        <f>"002791"</f>
        <v>002791</v>
      </c>
      <c r="P26" s="7">
        <v>43633</v>
      </c>
      <c r="Q26" s="10">
        <v>19.818719999999999</v>
      </c>
      <c r="R26" s="10">
        <v>1.29467</v>
      </c>
      <c r="S26" s="10">
        <v>18.524049999999999</v>
      </c>
      <c r="T26" s="8">
        <v>89</v>
      </c>
      <c r="U26" s="7">
        <v>43636</v>
      </c>
      <c r="V26" s="8">
        <v>0</v>
      </c>
      <c r="W26" s="9" t="s">
        <v>83</v>
      </c>
      <c r="X26" s="8" t="s">
        <v>54</v>
      </c>
      <c r="Y26" s="9" t="s">
        <v>55</v>
      </c>
      <c r="Z26" s="8" t="s">
        <v>45</v>
      </c>
      <c r="AA26" s="9" t="s">
        <v>46</v>
      </c>
      <c r="AB26" s="10">
        <v>0.19818719999999998</v>
      </c>
    </row>
    <row r="27" spans="1:28" s="4" customFormat="1" ht="13" x14ac:dyDescent="0.3">
      <c r="A27" s="5">
        <v>2372</v>
      </c>
      <c r="B27" s="6" t="s">
        <v>31</v>
      </c>
      <c r="C27" s="7">
        <v>43641</v>
      </c>
      <c r="D27" s="8">
        <v>68</v>
      </c>
      <c r="E27" s="9" t="s">
        <v>61</v>
      </c>
      <c r="F27" s="8" t="s">
        <v>84</v>
      </c>
      <c r="G27" s="9" t="s">
        <v>85</v>
      </c>
      <c r="H27" s="8" t="str">
        <f>"000094"</f>
        <v>000094</v>
      </c>
      <c r="I27" s="7">
        <v>43326</v>
      </c>
      <c r="J27" s="8" t="str">
        <f>"000022"</f>
        <v>000022</v>
      </c>
      <c r="K27" s="7">
        <v>43591</v>
      </c>
      <c r="L27" s="8" t="str">
        <f>"000035"</f>
        <v>000035</v>
      </c>
      <c r="M27" s="7">
        <v>43593</v>
      </c>
      <c r="N27" s="8">
        <v>18</v>
      </c>
      <c r="O27" s="8" t="str">
        <f>"002852"</f>
        <v>002852</v>
      </c>
      <c r="P27" s="7">
        <v>43636</v>
      </c>
      <c r="Q27" s="10">
        <v>9.96556</v>
      </c>
      <c r="R27" s="10">
        <v>1.3336300000000001</v>
      </c>
      <c r="S27" s="10">
        <v>8.6319300000000005</v>
      </c>
      <c r="T27" s="8">
        <v>93</v>
      </c>
      <c r="U27" s="7">
        <v>43641</v>
      </c>
      <c r="V27" s="8">
        <v>9900333496</v>
      </c>
      <c r="W27" s="9" t="s">
        <v>42</v>
      </c>
      <c r="X27" s="8" t="s">
        <v>56</v>
      </c>
      <c r="Y27" s="9" t="s">
        <v>57</v>
      </c>
      <c r="Z27" s="8" t="s">
        <v>45</v>
      </c>
      <c r="AA27" s="9" t="s">
        <v>46</v>
      </c>
      <c r="AB27" s="10">
        <v>9.9655599999999997E-2</v>
      </c>
    </row>
    <row r="28" spans="1:28" s="4" customFormat="1" ht="13" x14ac:dyDescent="0.3">
      <c r="A28" s="5">
        <v>2373</v>
      </c>
      <c r="B28" s="6" t="s">
        <v>121</v>
      </c>
      <c r="C28" s="7">
        <v>43647</v>
      </c>
      <c r="D28" s="8">
        <v>68</v>
      </c>
      <c r="E28" s="9" t="s">
        <v>61</v>
      </c>
      <c r="F28" s="8" t="s">
        <v>122</v>
      </c>
      <c r="G28" s="11" t="s">
        <v>123</v>
      </c>
      <c r="H28" s="8" t="str">
        <f>"000091"</f>
        <v>000091</v>
      </c>
      <c r="I28" s="7">
        <v>42998</v>
      </c>
      <c r="J28" s="8" t="str">
        <f>"000076"</f>
        <v>000076</v>
      </c>
      <c r="K28" s="7">
        <v>43082</v>
      </c>
      <c r="L28" s="8" t="str">
        <f>"000136"</f>
        <v>000136</v>
      </c>
      <c r="M28" s="7">
        <v>43083</v>
      </c>
      <c r="N28" s="8">
        <v>17</v>
      </c>
      <c r="O28" s="8" t="str">
        <f>"003004"</f>
        <v>003004</v>
      </c>
      <c r="P28" s="7">
        <v>43640</v>
      </c>
      <c r="Q28" s="12">
        <v>18.592829999999999</v>
      </c>
      <c r="R28" s="12">
        <v>0.91800999999999999</v>
      </c>
      <c r="S28" s="12">
        <v>17.67482</v>
      </c>
      <c r="T28" s="8">
        <v>96</v>
      </c>
      <c r="U28" s="7">
        <v>43647</v>
      </c>
      <c r="V28" s="8">
        <v>0</v>
      </c>
      <c r="W28" s="11" t="s">
        <v>124</v>
      </c>
      <c r="X28" s="8" t="s">
        <v>32</v>
      </c>
      <c r="Y28" s="11" t="s">
        <v>33</v>
      </c>
      <c r="Z28" s="8" t="s">
        <v>45</v>
      </c>
      <c r="AA28" s="11" t="s">
        <v>46</v>
      </c>
      <c r="AB28" s="12">
        <f t="shared" ref="AB28:AB55" si="1">Q28/100</f>
        <v>0.18592829999999999</v>
      </c>
    </row>
    <row r="29" spans="1:28" s="4" customFormat="1" ht="13" x14ac:dyDescent="0.3">
      <c r="A29" s="5">
        <v>2374</v>
      </c>
      <c r="B29" s="6" t="s">
        <v>121</v>
      </c>
      <c r="C29" s="7">
        <v>43647</v>
      </c>
      <c r="D29" s="8">
        <v>68</v>
      </c>
      <c r="E29" s="9" t="s">
        <v>61</v>
      </c>
      <c r="F29" s="8" t="s">
        <v>125</v>
      </c>
      <c r="G29" s="11" t="s">
        <v>126</v>
      </c>
      <c r="H29" s="8" t="str">
        <f>"000056"</f>
        <v>000056</v>
      </c>
      <c r="I29" s="7">
        <v>42902</v>
      </c>
      <c r="J29" s="8" t="str">
        <f>"000119"</f>
        <v>000119</v>
      </c>
      <c r="K29" s="7">
        <v>43108</v>
      </c>
      <c r="L29" s="8" t="str">
        <f>"000198"</f>
        <v>000198</v>
      </c>
      <c r="M29" s="7">
        <v>43108</v>
      </c>
      <c r="N29" s="8">
        <v>17</v>
      </c>
      <c r="O29" s="8" t="str">
        <f>"003010"</f>
        <v>003010</v>
      </c>
      <c r="P29" s="7">
        <v>43640</v>
      </c>
      <c r="Q29" s="12">
        <v>28.606079999999999</v>
      </c>
      <c r="R29" s="12">
        <v>3.4806300000000001</v>
      </c>
      <c r="S29" s="12">
        <v>25.125450000000001</v>
      </c>
      <c r="T29" s="8">
        <v>96</v>
      </c>
      <c r="U29" s="7">
        <v>43647</v>
      </c>
      <c r="V29" s="8">
        <v>9900333496</v>
      </c>
      <c r="W29" s="11" t="s">
        <v>42</v>
      </c>
      <c r="X29" s="8" t="s">
        <v>43</v>
      </c>
      <c r="Y29" s="11" t="s">
        <v>44</v>
      </c>
      <c r="Z29" s="8" t="s">
        <v>45</v>
      </c>
      <c r="AA29" s="11" t="s">
        <v>46</v>
      </c>
      <c r="AB29" s="12">
        <f t="shared" si="1"/>
        <v>0.2860608</v>
      </c>
    </row>
    <row r="30" spans="1:28" s="4" customFormat="1" ht="13" x14ac:dyDescent="0.3">
      <c r="A30" s="5">
        <v>2375</v>
      </c>
      <c r="B30" s="6" t="s">
        <v>121</v>
      </c>
      <c r="C30" s="7">
        <v>43647</v>
      </c>
      <c r="D30" s="8">
        <v>68</v>
      </c>
      <c r="E30" s="9" t="s">
        <v>61</v>
      </c>
      <c r="F30" s="8" t="s">
        <v>127</v>
      </c>
      <c r="G30" s="11" t="s">
        <v>128</v>
      </c>
      <c r="H30" s="8" t="str">
        <f>"000006"</f>
        <v>000006</v>
      </c>
      <c r="I30" s="7">
        <v>42933</v>
      </c>
      <c r="J30" s="8" t="str">
        <f>"000120"</f>
        <v>000120</v>
      </c>
      <c r="K30" s="7">
        <v>43109</v>
      </c>
      <c r="L30" s="8" t="str">
        <f>"000199"</f>
        <v>000199</v>
      </c>
      <c r="M30" s="7">
        <v>43109</v>
      </c>
      <c r="N30" s="8">
        <v>17</v>
      </c>
      <c r="O30" s="8" t="str">
        <f>"003037"</f>
        <v>003037</v>
      </c>
      <c r="P30" s="7">
        <v>43640</v>
      </c>
      <c r="Q30" s="12">
        <v>19.955349999999999</v>
      </c>
      <c r="R30" s="12">
        <v>1.0397799999999999</v>
      </c>
      <c r="S30" s="12">
        <v>18.915569999999999</v>
      </c>
      <c r="T30" s="8">
        <v>96</v>
      </c>
      <c r="U30" s="7">
        <v>43647</v>
      </c>
      <c r="V30" s="8">
        <v>0</v>
      </c>
      <c r="W30" s="11" t="s">
        <v>83</v>
      </c>
      <c r="X30" s="8" t="s">
        <v>58</v>
      </c>
      <c r="Y30" s="11" t="s">
        <v>129</v>
      </c>
      <c r="Z30" s="8" t="s">
        <v>45</v>
      </c>
      <c r="AA30" s="11" t="s">
        <v>46</v>
      </c>
      <c r="AB30" s="12">
        <f t="shared" si="1"/>
        <v>0.19955349999999999</v>
      </c>
    </row>
    <row r="31" spans="1:28" s="4" customFormat="1" ht="13" x14ac:dyDescent="0.3">
      <c r="A31" s="5">
        <v>2376</v>
      </c>
      <c r="B31" s="6" t="s">
        <v>121</v>
      </c>
      <c r="C31" s="7">
        <v>43647</v>
      </c>
      <c r="D31" s="8">
        <v>68</v>
      </c>
      <c r="E31" s="9" t="s">
        <v>61</v>
      </c>
      <c r="F31" s="8" t="s">
        <v>130</v>
      </c>
      <c r="G31" s="11" t="s">
        <v>131</v>
      </c>
      <c r="H31" s="8" t="str">
        <f>"000005"</f>
        <v>000005</v>
      </c>
      <c r="I31" s="7">
        <v>42933</v>
      </c>
      <c r="J31" s="8" t="str">
        <f>"000121"</f>
        <v>000121</v>
      </c>
      <c r="K31" s="7">
        <v>43109</v>
      </c>
      <c r="L31" s="8" t="str">
        <f>"000200"</f>
        <v>000200</v>
      </c>
      <c r="M31" s="7">
        <v>43109</v>
      </c>
      <c r="N31" s="8">
        <v>17</v>
      </c>
      <c r="O31" s="8" t="str">
        <f>"003038"</f>
        <v>003038</v>
      </c>
      <c r="P31" s="7">
        <v>43640</v>
      </c>
      <c r="Q31" s="12">
        <v>9.4058200000000003</v>
      </c>
      <c r="R31" s="12">
        <v>0.53298999999999996</v>
      </c>
      <c r="S31" s="12">
        <v>8.8728300000000004</v>
      </c>
      <c r="T31" s="8">
        <v>96</v>
      </c>
      <c r="U31" s="7">
        <v>43647</v>
      </c>
      <c r="V31" s="8">
        <v>0</v>
      </c>
      <c r="W31" s="11" t="s">
        <v>83</v>
      </c>
      <c r="X31" s="8" t="s">
        <v>58</v>
      </c>
      <c r="Y31" s="11" t="s">
        <v>129</v>
      </c>
      <c r="Z31" s="8" t="s">
        <v>45</v>
      </c>
      <c r="AA31" s="11" t="s">
        <v>46</v>
      </c>
      <c r="AB31" s="12">
        <f t="shared" si="1"/>
        <v>9.4058200000000008E-2</v>
      </c>
    </row>
    <row r="32" spans="1:28" s="4" customFormat="1" ht="13" x14ac:dyDescent="0.3">
      <c r="A32" s="5">
        <v>2377</v>
      </c>
      <c r="B32" s="6" t="s">
        <v>121</v>
      </c>
      <c r="C32" s="7">
        <v>43647</v>
      </c>
      <c r="D32" s="8">
        <v>68</v>
      </c>
      <c r="E32" s="9" t="s">
        <v>61</v>
      </c>
      <c r="F32" s="8" t="s">
        <v>132</v>
      </c>
      <c r="G32" s="11" t="s">
        <v>133</v>
      </c>
      <c r="H32" s="8" t="str">
        <f>"000081"</f>
        <v>000081</v>
      </c>
      <c r="I32" s="7">
        <v>42938</v>
      </c>
      <c r="J32" s="8" t="str">
        <f>"000011"</f>
        <v>000011</v>
      </c>
      <c r="K32" s="7">
        <v>42969</v>
      </c>
      <c r="L32" s="8" t="str">
        <f>"000011"</f>
        <v>000011</v>
      </c>
      <c r="M32" s="7">
        <v>42969</v>
      </c>
      <c r="N32" s="8">
        <v>17</v>
      </c>
      <c r="O32" s="8" t="str">
        <f>"003219"</f>
        <v>003219</v>
      </c>
      <c r="P32" s="7">
        <v>43643</v>
      </c>
      <c r="Q32" s="12">
        <v>24.753720000000001</v>
      </c>
      <c r="R32" s="12">
        <v>3.6501199999999998</v>
      </c>
      <c r="S32" s="12">
        <v>21.1036</v>
      </c>
      <c r="T32" s="8">
        <v>96</v>
      </c>
      <c r="U32" s="7">
        <v>43647</v>
      </c>
      <c r="V32" s="8">
        <v>9900333496</v>
      </c>
      <c r="W32" s="11" t="s">
        <v>42</v>
      </c>
      <c r="X32" s="8" t="s">
        <v>43</v>
      </c>
      <c r="Y32" s="11" t="s">
        <v>44</v>
      </c>
      <c r="Z32" s="8" t="s">
        <v>45</v>
      </c>
      <c r="AA32" s="11" t="s">
        <v>46</v>
      </c>
      <c r="AB32" s="12">
        <f t="shared" si="1"/>
        <v>0.24753720000000001</v>
      </c>
    </row>
    <row r="33" spans="1:28" s="4" customFormat="1" ht="13" x14ac:dyDescent="0.3">
      <c r="A33" s="5">
        <v>2378</v>
      </c>
      <c r="B33" s="6" t="s">
        <v>121</v>
      </c>
      <c r="C33" s="7">
        <v>43647</v>
      </c>
      <c r="D33" s="8">
        <v>68</v>
      </c>
      <c r="E33" s="9" t="s">
        <v>61</v>
      </c>
      <c r="F33" s="8" t="s">
        <v>134</v>
      </c>
      <c r="G33" s="11" t="s">
        <v>135</v>
      </c>
      <c r="H33" s="8" t="str">
        <f>"000095"</f>
        <v>000095</v>
      </c>
      <c r="I33" s="7">
        <v>43019</v>
      </c>
      <c r="J33" s="8" t="str">
        <f>"000128"</f>
        <v>000128</v>
      </c>
      <c r="K33" s="7">
        <v>43125</v>
      </c>
      <c r="L33" s="8" t="str">
        <f>"000213"</f>
        <v>000213</v>
      </c>
      <c r="M33" s="7">
        <v>43132</v>
      </c>
      <c r="N33" s="8">
        <v>17</v>
      </c>
      <c r="O33" s="8" t="str">
        <f>"002976"</f>
        <v>002976</v>
      </c>
      <c r="P33" s="7">
        <v>43640</v>
      </c>
      <c r="Q33" s="12">
        <v>19.747789999999998</v>
      </c>
      <c r="R33" s="12">
        <v>0.96679000000000004</v>
      </c>
      <c r="S33" s="12">
        <v>18.780999999999999</v>
      </c>
      <c r="T33" s="8">
        <v>100</v>
      </c>
      <c r="U33" s="7">
        <v>43647</v>
      </c>
      <c r="V33" s="8">
        <v>0</v>
      </c>
      <c r="W33" s="11" t="s">
        <v>83</v>
      </c>
      <c r="X33" s="8" t="s">
        <v>58</v>
      </c>
      <c r="Y33" s="11" t="s">
        <v>129</v>
      </c>
      <c r="Z33" s="8" t="s">
        <v>45</v>
      </c>
      <c r="AA33" s="11" t="s">
        <v>46</v>
      </c>
      <c r="AB33" s="12">
        <f t="shared" si="1"/>
        <v>0.19747789999999998</v>
      </c>
    </row>
    <row r="34" spans="1:28" s="4" customFormat="1" ht="13" x14ac:dyDescent="0.3">
      <c r="A34" s="5">
        <v>2379</v>
      </c>
      <c r="B34" s="6" t="s">
        <v>121</v>
      </c>
      <c r="C34" s="7">
        <v>43654</v>
      </c>
      <c r="D34" s="8">
        <v>68</v>
      </c>
      <c r="E34" s="9" t="s">
        <v>61</v>
      </c>
      <c r="F34" s="8" t="s">
        <v>136</v>
      </c>
      <c r="G34" s="11" t="s">
        <v>137</v>
      </c>
      <c r="H34" s="8" t="str">
        <f>"000004"</f>
        <v>000004</v>
      </c>
      <c r="I34" s="7">
        <v>42933</v>
      </c>
      <c r="J34" s="8" t="str">
        <f>"000122"</f>
        <v>000122</v>
      </c>
      <c r="K34" s="7">
        <v>43109</v>
      </c>
      <c r="L34" s="8" t="str">
        <f>"000201"</f>
        <v>000201</v>
      </c>
      <c r="M34" s="7">
        <v>43109</v>
      </c>
      <c r="N34" s="8">
        <v>17</v>
      </c>
      <c r="O34" s="8" t="str">
        <f>"003335"</f>
        <v>003335</v>
      </c>
      <c r="P34" s="7">
        <v>43650</v>
      </c>
      <c r="Q34" s="12">
        <v>20.306480000000001</v>
      </c>
      <c r="R34" s="12">
        <v>0.95162000000000002</v>
      </c>
      <c r="S34" s="12">
        <v>19.354859999999999</v>
      </c>
      <c r="T34" s="8">
        <v>108</v>
      </c>
      <c r="U34" s="7">
        <v>43654</v>
      </c>
      <c r="V34" s="8">
        <v>0</v>
      </c>
      <c r="W34" s="11" t="s">
        <v>83</v>
      </c>
      <c r="X34" s="8" t="s">
        <v>58</v>
      </c>
      <c r="Y34" s="11" t="s">
        <v>129</v>
      </c>
      <c r="Z34" s="8" t="s">
        <v>45</v>
      </c>
      <c r="AA34" s="11" t="s">
        <v>46</v>
      </c>
      <c r="AB34" s="12">
        <f t="shared" si="1"/>
        <v>0.20306480000000002</v>
      </c>
    </row>
    <row r="35" spans="1:28" s="4" customFormat="1" ht="13" x14ac:dyDescent="0.3">
      <c r="A35" s="5">
        <v>2380</v>
      </c>
      <c r="B35" s="6" t="s">
        <v>121</v>
      </c>
      <c r="C35" s="7">
        <v>43664</v>
      </c>
      <c r="D35" s="8">
        <v>68</v>
      </c>
      <c r="E35" s="9" t="s">
        <v>61</v>
      </c>
      <c r="F35" s="8" t="s">
        <v>138</v>
      </c>
      <c r="G35" s="11" t="s">
        <v>139</v>
      </c>
      <c r="H35" s="8" t="str">
        <f>"004000"</f>
        <v>004000</v>
      </c>
      <c r="I35" s="7">
        <v>42731</v>
      </c>
      <c r="J35" s="8" t="str">
        <f>"000180"</f>
        <v>000180</v>
      </c>
      <c r="K35" s="7">
        <v>43182</v>
      </c>
      <c r="L35" s="8" t="str">
        <f>"000018"</f>
        <v>000018</v>
      </c>
      <c r="M35" s="7">
        <v>43199</v>
      </c>
      <c r="N35" s="8">
        <v>16</v>
      </c>
      <c r="O35" s="8" t="str">
        <f>"003484"</f>
        <v>003484</v>
      </c>
      <c r="P35" s="7">
        <v>43662</v>
      </c>
      <c r="Q35" s="12">
        <v>32.998399999999997</v>
      </c>
      <c r="R35" s="12">
        <v>4.0122600000000004</v>
      </c>
      <c r="S35" s="12">
        <v>28.986139999999999</v>
      </c>
      <c r="T35" s="8">
        <v>116</v>
      </c>
      <c r="U35" s="7">
        <v>43664</v>
      </c>
      <c r="V35" s="8">
        <v>9900333496</v>
      </c>
      <c r="W35" s="11" t="s">
        <v>42</v>
      </c>
      <c r="X35" s="8" t="s">
        <v>49</v>
      </c>
      <c r="Y35" s="11" t="s">
        <v>50</v>
      </c>
      <c r="Z35" s="8" t="s">
        <v>45</v>
      </c>
      <c r="AA35" s="11" t="s">
        <v>46</v>
      </c>
      <c r="AB35" s="12">
        <f t="shared" si="1"/>
        <v>0.32998399999999994</v>
      </c>
    </row>
    <row r="36" spans="1:28" s="4" customFormat="1" ht="13" x14ac:dyDescent="0.3">
      <c r="A36" s="5">
        <v>2381</v>
      </c>
      <c r="B36" s="6" t="s">
        <v>121</v>
      </c>
      <c r="C36" s="7">
        <v>43664</v>
      </c>
      <c r="D36" s="8">
        <v>68</v>
      </c>
      <c r="E36" s="9" t="s">
        <v>61</v>
      </c>
      <c r="F36" s="8" t="s">
        <v>140</v>
      </c>
      <c r="G36" s="11" t="s">
        <v>141</v>
      </c>
      <c r="H36" s="8" t="str">
        <f>"000343"</f>
        <v>000343</v>
      </c>
      <c r="I36" s="7">
        <v>43179</v>
      </c>
      <c r="J36" s="8" t="str">
        <f>"000088"</f>
        <v>000088</v>
      </c>
      <c r="K36" s="7">
        <v>43297</v>
      </c>
      <c r="L36" s="8" t="str">
        <f>"000173"</f>
        <v>000173</v>
      </c>
      <c r="M36" s="7">
        <v>43298</v>
      </c>
      <c r="N36" s="8">
        <v>18</v>
      </c>
      <c r="O36" s="8" t="str">
        <f>"003514"</f>
        <v>003514</v>
      </c>
      <c r="P36" s="7">
        <v>43663</v>
      </c>
      <c r="Q36" s="12">
        <v>29.567430000000002</v>
      </c>
      <c r="R36" s="12">
        <v>3.6487699999999998</v>
      </c>
      <c r="S36" s="12">
        <v>25.918659999999999</v>
      </c>
      <c r="T36" s="8">
        <v>116</v>
      </c>
      <c r="U36" s="7">
        <v>43664</v>
      </c>
      <c r="V36" s="8">
        <v>9900333496</v>
      </c>
      <c r="W36" s="11" t="s">
        <v>42</v>
      </c>
      <c r="X36" s="8" t="s">
        <v>49</v>
      </c>
      <c r="Y36" s="11" t="s">
        <v>50</v>
      </c>
      <c r="Z36" s="8" t="s">
        <v>45</v>
      </c>
      <c r="AA36" s="11" t="s">
        <v>46</v>
      </c>
      <c r="AB36" s="12">
        <f t="shared" si="1"/>
        <v>0.2956743</v>
      </c>
    </row>
    <row r="37" spans="1:28" s="4" customFormat="1" ht="13" x14ac:dyDescent="0.3">
      <c r="A37" s="5">
        <v>2382</v>
      </c>
      <c r="B37" s="6" t="s">
        <v>121</v>
      </c>
      <c r="C37" s="7">
        <v>43664</v>
      </c>
      <c r="D37" s="8">
        <v>68</v>
      </c>
      <c r="E37" s="9" t="s">
        <v>61</v>
      </c>
      <c r="F37" s="8" t="s">
        <v>142</v>
      </c>
      <c r="G37" s="11" t="s">
        <v>143</v>
      </c>
      <c r="H37" s="8" t="str">
        <f>"000360"</f>
        <v>000360</v>
      </c>
      <c r="I37" s="7">
        <v>43180</v>
      </c>
      <c r="J37" s="8" t="str">
        <f>"000087"</f>
        <v>000087</v>
      </c>
      <c r="K37" s="7">
        <v>43297</v>
      </c>
      <c r="L37" s="8" t="str">
        <f>"000174"</f>
        <v>000174</v>
      </c>
      <c r="M37" s="7">
        <v>43298</v>
      </c>
      <c r="N37" s="8">
        <v>18</v>
      </c>
      <c r="O37" s="8" t="str">
        <f>"003516"</f>
        <v>003516</v>
      </c>
      <c r="P37" s="7">
        <v>43663</v>
      </c>
      <c r="Q37" s="12">
        <v>34.231769999999997</v>
      </c>
      <c r="R37" s="12">
        <v>4.1224499999999997</v>
      </c>
      <c r="S37" s="12">
        <v>30.10932</v>
      </c>
      <c r="T37" s="8">
        <v>116</v>
      </c>
      <c r="U37" s="7">
        <v>43664</v>
      </c>
      <c r="V37" s="8">
        <v>9900333496</v>
      </c>
      <c r="W37" s="11" t="s">
        <v>42</v>
      </c>
      <c r="X37" s="8" t="s">
        <v>43</v>
      </c>
      <c r="Y37" s="11" t="s">
        <v>44</v>
      </c>
      <c r="Z37" s="8" t="s">
        <v>45</v>
      </c>
      <c r="AA37" s="11" t="s">
        <v>46</v>
      </c>
      <c r="AB37" s="12">
        <f t="shared" si="1"/>
        <v>0.34231769999999995</v>
      </c>
    </row>
    <row r="38" spans="1:28" s="4" customFormat="1" ht="13" x14ac:dyDescent="0.3">
      <c r="A38" s="5">
        <v>2383</v>
      </c>
      <c r="B38" s="6" t="s">
        <v>121</v>
      </c>
      <c r="C38" s="7">
        <v>43677</v>
      </c>
      <c r="D38" s="8">
        <v>68</v>
      </c>
      <c r="E38" s="9" t="s">
        <v>61</v>
      </c>
      <c r="F38" s="8" t="s">
        <v>144</v>
      </c>
      <c r="G38" s="11" t="s">
        <v>145</v>
      </c>
      <c r="H38" s="8" t="str">
        <f>"000020"</f>
        <v>000020</v>
      </c>
      <c r="I38" s="7">
        <v>42934</v>
      </c>
      <c r="J38" s="8" t="str">
        <f>"000135"</f>
        <v>000135</v>
      </c>
      <c r="K38" s="7">
        <v>43152</v>
      </c>
      <c r="L38" s="8" t="str">
        <f>"000220"</f>
        <v>000220</v>
      </c>
      <c r="M38" s="7">
        <v>43152</v>
      </c>
      <c r="N38" s="8">
        <v>17</v>
      </c>
      <c r="O38" s="8" t="str">
        <f>"003966"</f>
        <v>003966</v>
      </c>
      <c r="P38" s="7">
        <v>43670</v>
      </c>
      <c r="Q38" s="12">
        <v>18.64001</v>
      </c>
      <c r="R38" s="12">
        <v>1.1506400000000001</v>
      </c>
      <c r="S38" s="12">
        <v>17.489370000000001</v>
      </c>
      <c r="T38" s="8">
        <v>135</v>
      </c>
      <c r="U38" s="7">
        <v>43677</v>
      </c>
      <c r="V38" s="8">
        <v>9845003091</v>
      </c>
      <c r="W38" s="11" t="s">
        <v>146</v>
      </c>
      <c r="X38" s="8" t="s">
        <v>54</v>
      </c>
      <c r="Y38" s="11" t="s">
        <v>55</v>
      </c>
      <c r="Z38" s="8" t="s">
        <v>45</v>
      </c>
      <c r="AA38" s="11" t="s">
        <v>46</v>
      </c>
      <c r="AB38" s="12">
        <f t="shared" si="1"/>
        <v>0.18640010000000001</v>
      </c>
    </row>
    <row r="39" spans="1:28" s="4" customFormat="1" ht="13" x14ac:dyDescent="0.3">
      <c r="A39" s="5">
        <v>2384</v>
      </c>
      <c r="B39" s="6" t="s">
        <v>147</v>
      </c>
      <c r="C39" s="7">
        <v>43680</v>
      </c>
      <c r="D39" s="8">
        <v>68</v>
      </c>
      <c r="E39" s="9" t="s">
        <v>61</v>
      </c>
      <c r="F39" s="8" t="s">
        <v>148</v>
      </c>
      <c r="G39" s="11" t="s">
        <v>149</v>
      </c>
      <c r="H39" s="8" t="str">
        <f>"000384"</f>
        <v>000384</v>
      </c>
      <c r="I39" s="7">
        <v>43182</v>
      </c>
      <c r="J39" s="8" t="str">
        <f>"000084"</f>
        <v>000084</v>
      </c>
      <c r="K39" s="7">
        <v>43294</v>
      </c>
      <c r="L39" s="8" t="str">
        <f>"000169"</f>
        <v>000169</v>
      </c>
      <c r="M39" s="7">
        <v>43297</v>
      </c>
      <c r="N39" s="8">
        <v>18</v>
      </c>
      <c r="O39" s="8" t="str">
        <f>"004200"</f>
        <v>004200</v>
      </c>
      <c r="P39" s="7">
        <v>43679</v>
      </c>
      <c r="Q39" s="12">
        <v>19.97645</v>
      </c>
      <c r="R39" s="12">
        <v>2.4666100000000002</v>
      </c>
      <c r="S39" s="12">
        <v>17.509840000000001</v>
      </c>
      <c r="T39" s="8">
        <v>141</v>
      </c>
      <c r="U39" s="7">
        <v>43680</v>
      </c>
      <c r="V39" s="8">
        <v>9900333496</v>
      </c>
      <c r="W39" s="11" t="s">
        <v>42</v>
      </c>
      <c r="X39" s="8" t="s">
        <v>43</v>
      </c>
      <c r="Y39" s="11" t="s">
        <v>44</v>
      </c>
      <c r="Z39" s="8" t="s">
        <v>45</v>
      </c>
      <c r="AA39" s="11" t="s">
        <v>46</v>
      </c>
      <c r="AB39" s="12">
        <f t="shared" si="1"/>
        <v>0.19976450000000001</v>
      </c>
    </row>
    <row r="40" spans="1:28" s="4" customFormat="1" ht="13" x14ac:dyDescent="0.3">
      <c r="A40" s="5">
        <v>2385</v>
      </c>
      <c r="B40" s="6" t="s">
        <v>147</v>
      </c>
      <c r="C40" s="7">
        <v>43680</v>
      </c>
      <c r="D40" s="8">
        <v>68</v>
      </c>
      <c r="E40" s="9" t="s">
        <v>61</v>
      </c>
      <c r="F40" s="8" t="s">
        <v>150</v>
      </c>
      <c r="G40" s="11" t="s">
        <v>151</v>
      </c>
      <c r="H40" s="8" t="str">
        <f>"000375"</f>
        <v>000375</v>
      </c>
      <c r="I40" s="7">
        <v>43181</v>
      </c>
      <c r="J40" s="8" t="str">
        <f>"000141"</f>
        <v>000141</v>
      </c>
      <c r="K40" s="7">
        <v>43342</v>
      </c>
      <c r="L40" s="8" t="str">
        <f>"000260"</f>
        <v>000260</v>
      </c>
      <c r="M40" s="7">
        <v>43343</v>
      </c>
      <c r="N40" s="8">
        <v>18</v>
      </c>
      <c r="O40" s="8" t="str">
        <f>"004203"</f>
        <v>004203</v>
      </c>
      <c r="P40" s="7">
        <v>43679</v>
      </c>
      <c r="Q40" s="12">
        <v>19.99737</v>
      </c>
      <c r="R40" s="12">
        <v>2.5367299999999999</v>
      </c>
      <c r="S40" s="12">
        <v>17.460640000000001</v>
      </c>
      <c r="T40" s="8">
        <v>141</v>
      </c>
      <c r="U40" s="7">
        <v>43680</v>
      </c>
      <c r="V40" s="8">
        <v>9900333496</v>
      </c>
      <c r="W40" s="11" t="s">
        <v>42</v>
      </c>
      <c r="X40" s="8" t="s">
        <v>43</v>
      </c>
      <c r="Y40" s="11" t="s">
        <v>44</v>
      </c>
      <c r="Z40" s="8" t="s">
        <v>45</v>
      </c>
      <c r="AA40" s="11" t="s">
        <v>46</v>
      </c>
      <c r="AB40" s="12">
        <f t="shared" si="1"/>
        <v>0.1999737</v>
      </c>
    </row>
    <row r="41" spans="1:28" s="4" customFormat="1" ht="13" x14ac:dyDescent="0.3">
      <c r="A41" s="5">
        <v>2386</v>
      </c>
      <c r="B41" s="6" t="s">
        <v>147</v>
      </c>
      <c r="C41" s="7">
        <v>43690</v>
      </c>
      <c r="D41" s="8">
        <v>68</v>
      </c>
      <c r="E41" s="9" t="s">
        <v>61</v>
      </c>
      <c r="F41" s="8" t="s">
        <v>152</v>
      </c>
      <c r="G41" s="11" t="s">
        <v>153</v>
      </c>
      <c r="H41" s="8" t="str">
        <f>"000369"</f>
        <v>000369</v>
      </c>
      <c r="I41" s="7">
        <v>43180</v>
      </c>
      <c r="J41" s="8" t="str">
        <f>"000288"</f>
        <v>000288</v>
      </c>
      <c r="K41" s="7">
        <v>43509</v>
      </c>
      <c r="L41" s="8" t="str">
        <f>"000463"</f>
        <v>000463</v>
      </c>
      <c r="M41" s="7">
        <v>43509</v>
      </c>
      <c r="N41" s="8">
        <v>18</v>
      </c>
      <c r="O41" s="8" t="str">
        <f>"004407"</f>
        <v>004407</v>
      </c>
      <c r="P41" s="7">
        <v>43690</v>
      </c>
      <c r="Q41" s="12">
        <v>49.673090000000002</v>
      </c>
      <c r="R41" s="12">
        <v>24.673089999999998</v>
      </c>
      <c r="S41" s="12">
        <v>25</v>
      </c>
      <c r="T41" s="8">
        <v>151</v>
      </c>
      <c r="U41" s="7">
        <v>43690</v>
      </c>
      <c r="V41" s="8">
        <v>9900333496</v>
      </c>
      <c r="W41" s="11" t="s">
        <v>42</v>
      </c>
      <c r="X41" s="8" t="s">
        <v>43</v>
      </c>
      <c r="Y41" s="11" t="s">
        <v>44</v>
      </c>
      <c r="Z41" s="8" t="s">
        <v>45</v>
      </c>
      <c r="AA41" s="11" t="s">
        <v>46</v>
      </c>
      <c r="AB41" s="12">
        <f t="shared" si="1"/>
        <v>0.49673090000000003</v>
      </c>
    </row>
    <row r="42" spans="1:28" s="4" customFormat="1" ht="13" x14ac:dyDescent="0.3">
      <c r="A42" s="5">
        <v>2387</v>
      </c>
      <c r="B42" s="6" t="s">
        <v>147</v>
      </c>
      <c r="C42" s="7">
        <v>43698</v>
      </c>
      <c r="D42" s="8">
        <v>68</v>
      </c>
      <c r="E42" s="9" t="s">
        <v>61</v>
      </c>
      <c r="F42" s="8" t="s">
        <v>75</v>
      </c>
      <c r="G42" s="11" t="s">
        <v>76</v>
      </c>
      <c r="H42" s="8" t="str">
        <f>"000014"</f>
        <v>000014</v>
      </c>
      <c r="I42" s="7">
        <v>42933</v>
      </c>
      <c r="J42" s="8" t="str">
        <f>"000035"</f>
        <v>000035</v>
      </c>
      <c r="K42" s="7">
        <v>43685</v>
      </c>
      <c r="L42" s="8" t="str">
        <f>"000037"</f>
        <v>000037</v>
      </c>
      <c r="M42" s="7">
        <v>43685</v>
      </c>
      <c r="N42" s="8">
        <v>16</v>
      </c>
      <c r="O42" s="8" t="str">
        <f>"004658"</f>
        <v>004658</v>
      </c>
      <c r="P42" s="7">
        <v>43697</v>
      </c>
      <c r="Q42" s="12">
        <v>5.8055599999999998</v>
      </c>
      <c r="R42" s="12">
        <v>0.57394000000000001</v>
      </c>
      <c r="S42" s="12">
        <v>5.2316200000000004</v>
      </c>
      <c r="T42" s="8">
        <v>161</v>
      </c>
      <c r="U42" s="7">
        <v>43698</v>
      </c>
      <c r="V42" s="8">
        <v>9448281394</v>
      </c>
      <c r="W42" s="11" t="s">
        <v>51</v>
      </c>
      <c r="X42" s="8" t="s">
        <v>29</v>
      </c>
      <c r="Y42" s="11" t="s">
        <v>30</v>
      </c>
      <c r="Z42" s="8" t="s">
        <v>47</v>
      </c>
      <c r="AA42" s="11" t="s">
        <v>48</v>
      </c>
      <c r="AB42" s="12">
        <f t="shared" si="1"/>
        <v>5.8055599999999999E-2</v>
      </c>
    </row>
    <row r="43" spans="1:28" s="4" customFormat="1" ht="13" x14ac:dyDescent="0.3">
      <c r="A43" s="5">
        <v>2388</v>
      </c>
      <c r="B43" s="6" t="s">
        <v>147</v>
      </c>
      <c r="C43" s="7">
        <v>43704</v>
      </c>
      <c r="D43" s="8">
        <v>68</v>
      </c>
      <c r="E43" s="9" t="s">
        <v>61</v>
      </c>
      <c r="F43" s="8" t="s">
        <v>154</v>
      </c>
      <c r="G43" s="11" t="s">
        <v>155</v>
      </c>
      <c r="H43" s="8" t="str">
        <f>"000014"</f>
        <v>000014</v>
      </c>
      <c r="I43" s="7">
        <v>42934</v>
      </c>
      <c r="J43" s="8" t="str">
        <f>"000183"</f>
        <v>000183</v>
      </c>
      <c r="K43" s="7">
        <v>43183</v>
      </c>
      <c r="L43" s="8" t="str">
        <f>"000306"</f>
        <v>000306</v>
      </c>
      <c r="M43" s="7">
        <v>43185</v>
      </c>
      <c r="N43" s="8">
        <v>17</v>
      </c>
      <c r="O43" s="8" t="str">
        <f>"004523"</f>
        <v>004523</v>
      </c>
      <c r="P43" s="7">
        <v>43693</v>
      </c>
      <c r="Q43" s="12">
        <v>9.6358999999999995</v>
      </c>
      <c r="R43" s="12">
        <v>0.4294</v>
      </c>
      <c r="S43" s="12">
        <v>9.2065000000000001</v>
      </c>
      <c r="T43" s="8">
        <v>166</v>
      </c>
      <c r="U43" s="7">
        <v>43704</v>
      </c>
      <c r="V43" s="8">
        <v>0</v>
      </c>
      <c r="W43" s="11" t="s">
        <v>83</v>
      </c>
      <c r="X43" s="8" t="s">
        <v>32</v>
      </c>
      <c r="Y43" s="11" t="s">
        <v>33</v>
      </c>
      <c r="Z43" s="8" t="s">
        <v>45</v>
      </c>
      <c r="AA43" s="11" t="s">
        <v>46</v>
      </c>
      <c r="AB43" s="12">
        <f t="shared" si="1"/>
        <v>9.6359E-2</v>
      </c>
    </row>
    <row r="44" spans="1:28" s="4" customFormat="1" ht="13" x14ac:dyDescent="0.3">
      <c r="A44" s="5">
        <v>2389</v>
      </c>
      <c r="B44" s="6" t="s">
        <v>147</v>
      </c>
      <c r="C44" s="7">
        <v>43705</v>
      </c>
      <c r="D44" s="8">
        <v>68</v>
      </c>
      <c r="E44" s="9" t="s">
        <v>61</v>
      </c>
      <c r="F44" s="8" t="s">
        <v>156</v>
      </c>
      <c r="G44" s="11" t="s">
        <v>157</v>
      </c>
      <c r="H44" s="8" t="str">
        <f>"000278"</f>
        <v>000278</v>
      </c>
      <c r="I44" s="7">
        <v>43522</v>
      </c>
      <c r="J44" s="8" t="str">
        <f>"000071"</f>
        <v>000071</v>
      </c>
      <c r="K44" s="7">
        <v>43619</v>
      </c>
      <c r="L44" s="8" t="str">
        <f>"000116"</f>
        <v>000116</v>
      </c>
      <c r="M44" s="7">
        <v>43623</v>
      </c>
      <c r="N44" s="8">
        <v>19</v>
      </c>
      <c r="O44" s="8" t="str">
        <f>"004785"</f>
        <v>004785</v>
      </c>
      <c r="P44" s="7">
        <v>43704</v>
      </c>
      <c r="Q44" s="12">
        <v>59.461919999999999</v>
      </c>
      <c r="R44" s="12">
        <v>7.4255899999999997</v>
      </c>
      <c r="S44" s="12">
        <v>52.03633</v>
      </c>
      <c r="T44" s="8">
        <v>170</v>
      </c>
      <c r="U44" s="7">
        <v>43705</v>
      </c>
      <c r="V44" s="8">
        <v>9900333496</v>
      </c>
      <c r="W44" s="11" t="s">
        <v>42</v>
      </c>
      <c r="X44" s="8" t="s">
        <v>158</v>
      </c>
      <c r="Y44" s="11" t="s">
        <v>159</v>
      </c>
      <c r="Z44" s="8" t="s">
        <v>45</v>
      </c>
      <c r="AA44" s="11" t="s">
        <v>46</v>
      </c>
      <c r="AB44" s="12">
        <f t="shared" si="1"/>
        <v>0.59461920000000001</v>
      </c>
    </row>
    <row r="45" spans="1:28" s="4" customFormat="1" ht="13" x14ac:dyDescent="0.3">
      <c r="A45" s="5">
        <v>2390</v>
      </c>
      <c r="B45" s="6" t="s">
        <v>147</v>
      </c>
      <c r="C45" s="7">
        <v>43705</v>
      </c>
      <c r="D45" s="8">
        <v>68</v>
      </c>
      <c r="E45" s="9" t="s">
        <v>61</v>
      </c>
      <c r="F45" s="8" t="s">
        <v>160</v>
      </c>
      <c r="G45" s="11" t="s">
        <v>161</v>
      </c>
      <c r="H45" s="8" t="str">
        <f>"000345"</f>
        <v>000345</v>
      </c>
      <c r="I45" s="7">
        <v>43532</v>
      </c>
      <c r="J45" s="8" t="str">
        <f>"000072"</f>
        <v>000072</v>
      </c>
      <c r="K45" s="7">
        <v>43619</v>
      </c>
      <c r="L45" s="8" t="str">
        <f>"000117"</f>
        <v>000117</v>
      </c>
      <c r="M45" s="7">
        <v>43623</v>
      </c>
      <c r="N45" s="8">
        <v>19</v>
      </c>
      <c r="O45" s="8" t="str">
        <f>"004798"</f>
        <v>004798</v>
      </c>
      <c r="P45" s="7">
        <v>43704</v>
      </c>
      <c r="Q45" s="12">
        <v>59.382750000000001</v>
      </c>
      <c r="R45" s="12">
        <v>7.2318499999999997</v>
      </c>
      <c r="S45" s="12">
        <v>52.1509</v>
      </c>
      <c r="T45" s="8">
        <v>170</v>
      </c>
      <c r="U45" s="7">
        <v>43705</v>
      </c>
      <c r="V45" s="8">
        <v>9900333496</v>
      </c>
      <c r="W45" s="11" t="s">
        <v>42</v>
      </c>
      <c r="X45" s="8" t="s">
        <v>158</v>
      </c>
      <c r="Y45" s="11" t="s">
        <v>159</v>
      </c>
      <c r="Z45" s="8" t="s">
        <v>45</v>
      </c>
      <c r="AA45" s="11" t="s">
        <v>46</v>
      </c>
      <c r="AB45" s="12">
        <f t="shared" si="1"/>
        <v>0.59382750000000006</v>
      </c>
    </row>
    <row r="46" spans="1:28" s="4" customFormat="1" ht="13" x14ac:dyDescent="0.3">
      <c r="A46" s="5">
        <v>2391</v>
      </c>
      <c r="B46" s="6" t="s">
        <v>147</v>
      </c>
      <c r="C46" s="7">
        <v>43707</v>
      </c>
      <c r="D46" s="8">
        <v>68</v>
      </c>
      <c r="E46" s="9" t="s">
        <v>61</v>
      </c>
      <c r="F46" s="8" t="s">
        <v>162</v>
      </c>
      <c r="G46" s="11" t="s">
        <v>163</v>
      </c>
      <c r="H46" s="8" t="str">
        <f>"000015"</f>
        <v>000015</v>
      </c>
      <c r="I46" s="7">
        <v>42934</v>
      </c>
      <c r="J46" s="8" t="str">
        <f>"000160"</f>
        <v>000160</v>
      </c>
      <c r="K46" s="7">
        <v>43176</v>
      </c>
      <c r="L46" s="8" t="str">
        <f>"000276"</f>
        <v>000276</v>
      </c>
      <c r="M46" s="7">
        <v>43180</v>
      </c>
      <c r="N46" s="8">
        <v>17</v>
      </c>
      <c r="O46" s="8" t="str">
        <f>"004669"</f>
        <v>004669</v>
      </c>
      <c r="P46" s="7">
        <v>43697</v>
      </c>
      <c r="Q46" s="12">
        <v>5.1792699999999998</v>
      </c>
      <c r="R46" s="12">
        <v>0.26055</v>
      </c>
      <c r="S46" s="12">
        <v>4.9187200000000004</v>
      </c>
      <c r="T46" s="8">
        <v>173</v>
      </c>
      <c r="U46" s="7">
        <v>43707</v>
      </c>
      <c r="V46" s="8">
        <v>0</v>
      </c>
      <c r="W46" s="11" t="s">
        <v>83</v>
      </c>
      <c r="X46" s="8" t="s">
        <v>32</v>
      </c>
      <c r="Y46" s="11" t="s">
        <v>33</v>
      </c>
      <c r="Z46" s="8" t="s">
        <v>45</v>
      </c>
      <c r="AA46" s="11" t="s">
        <v>46</v>
      </c>
      <c r="AB46" s="12">
        <f t="shared" si="1"/>
        <v>5.1792699999999997E-2</v>
      </c>
    </row>
    <row r="47" spans="1:28" s="4" customFormat="1" ht="13" x14ac:dyDescent="0.3">
      <c r="A47" s="5">
        <v>2392</v>
      </c>
      <c r="B47" s="6" t="s">
        <v>164</v>
      </c>
      <c r="C47" s="7">
        <v>43714</v>
      </c>
      <c r="D47" s="8">
        <v>68</v>
      </c>
      <c r="E47" s="9" t="s">
        <v>61</v>
      </c>
      <c r="F47" s="8" t="s">
        <v>165</v>
      </c>
      <c r="G47" s="11" t="s">
        <v>166</v>
      </c>
      <c r="H47" s="8" t="str">
        <f>"000295"</f>
        <v>000295</v>
      </c>
      <c r="I47" s="7">
        <v>43159</v>
      </c>
      <c r="J47" s="8" t="str">
        <f>"000186"</f>
        <v>000186</v>
      </c>
      <c r="K47" s="7">
        <v>43185</v>
      </c>
      <c r="L47" s="8" t="str">
        <f>"000312"</f>
        <v>000312</v>
      </c>
      <c r="M47" s="7">
        <v>43190</v>
      </c>
      <c r="N47" s="8">
        <v>18</v>
      </c>
      <c r="O47" s="8" t="str">
        <f>"004695"</f>
        <v>004695</v>
      </c>
      <c r="P47" s="7">
        <v>43698</v>
      </c>
      <c r="Q47" s="12">
        <v>19.954180000000001</v>
      </c>
      <c r="R47" s="12">
        <v>2.2841300000000002</v>
      </c>
      <c r="S47" s="12">
        <v>17.67005</v>
      </c>
      <c r="T47" s="8">
        <v>175</v>
      </c>
      <c r="U47" s="7">
        <v>43714</v>
      </c>
      <c r="V47" s="8">
        <v>9900333496</v>
      </c>
      <c r="W47" s="11" t="s">
        <v>42</v>
      </c>
      <c r="X47" s="8" t="s">
        <v>40</v>
      </c>
      <c r="Y47" s="11" t="s">
        <v>41</v>
      </c>
      <c r="Z47" s="8" t="s">
        <v>45</v>
      </c>
      <c r="AA47" s="11" t="s">
        <v>46</v>
      </c>
      <c r="AB47" s="12">
        <f t="shared" si="1"/>
        <v>0.19954180000000002</v>
      </c>
    </row>
    <row r="48" spans="1:28" s="4" customFormat="1" ht="13" x14ac:dyDescent="0.3">
      <c r="A48" s="5">
        <v>2393</v>
      </c>
      <c r="B48" s="6" t="s">
        <v>164</v>
      </c>
      <c r="C48" s="7">
        <v>43714</v>
      </c>
      <c r="D48" s="8">
        <v>68</v>
      </c>
      <c r="E48" s="9" t="s">
        <v>61</v>
      </c>
      <c r="F48" s="8" t="s">
        <v>167</v>
      </c>
      <c r="G48" s="11" t="s">
        <v>168</v>
      </c>
      <c r="H48" s="8" t="str">
        <f>"000075"</f>
        <v>000075</v>
      </c>
      <c r="I48" s="7">
        <v>42937</v>
      </c>
      <c r="J48" s="8" t="str">
        <f>"000185"</f>
        <v>000185</v>
      </c>
      <c r="K48" s="7">
        <v>43185</v>
      </c>
      <c r="L48" s="8" t="str">
        <f>"000001"</f>
        <v>000001</v>
      </c>
      <c r="M48" s="7">
        <v>43192</v>
      </c>
      <c r="N48" s="8">
        <v>17</v>
      </c>
      <c r="O48" s="8" t="str">
        <f>"004841"</f>
        <v>004841</v>
      </c>
      <c r="P48" s="7">
        <v>43705</v>
      </c>
      <c r="Q48" s="12">
        <v>29.671399999999998</v>
      </c>
      <c r="R48" s="12">
        <v>3.91072</v>
      </c>
      <c r="S48" s="12">
        <v>25.760680000000001</v>
      </c>
      <c r="T48" s="8">
        <v>175</v>
      </c>
      <c r="U48" s="7">
        <v>43714</v>
      </c>
      <c r="V48" s="8">
        <v>9900333496</v>
      </c>
      <c r="W48" s="11" t="s">
        <v>42</v>
      </c>
      <c r="X48" s="8" t="s">
        <v>43</v>
      </c>
      <c r="Y48" s="11" t="s">
        <v>44</v>
      </c>
      <c r="Z48" s="8" t="s">
        <v>45</v>
      </c>
      <c r="AA48" s="11" t="s">
        <v>46</v>
      </c>
      <c r="AB48" s="12">
        <f t="shared" si="1"/>
        <v>0.29671399999999998</v>
      </c>
    </row>
    <row r="49" spans="1:28" s="4" customFormat="1" ht="13" x14ac:dyDescent="0.3">
      <c r="A49" s="5">
        <v>2394</v>
      </c>
      <c r="B49" s="6" t="s">
        <v>164</v>
      </c>
      <c r="C49" s="7">
        <v>43729</v>
      </c>
      <c r="D49" s="8">
        <v>68</v>
      </c>
      <c r="E49" s="9" t="s">
        <v>61</v>
      </c>
      <c r="F49" s="8" t="s">
        <v>169</v>
      </c>
      <c r="G49" s="11" t="s">
        <v>170</v>
      </c>
      <c r="H49" s="8" t="str">
        <f>"000031"</f>
        <v>000031</v>
      </c>
      <c r="I49" s="7">
        <v>42934</v>
      </c>
      <c r="J49" s="8" t="str">
        <f>"000150"</f>
        <v>000150</v>
      </c>
      <c r="K49" s="7">
        <v>43174</v>
      </c>
      <c r="L49" s="8" t="str">
        <f>"000007"</f>
        <v>000007</v>
      </c>
      <c r="M49" s="7">
        <v>43193</v>
      </c>
      <c r="N49" s="8">
        <v>17</v>
      </c>
      <c r="O49" s="8" t="str">
        <f>"005013"</f>
        <v>005013</v>
      </c>
      <c r="P49" s="7">
        <v>43719</v>
      </c>
      <c r="Q49" s="12">
        <v>18.182369999999999</v>
      </c>
      <c r="R49" s="12">
        <v>0.89881999999999995</v>
      </c>
      <c r="S49" s="12">
        <v>17.283550000000002</v>
      </c>
      <c r="T49" s="8">
        <v>194</v>
      </c>
      <c r="U49" s="7">
        <v>43729</v>
      </c>
      <c r="V49" s="8">
        <v>0</v>
      </c>
      <c r="W49" s="11" t="s">
        <v>83</v>
      </c>
      <c r="X49" s="8" t="s">
        <v>32</v>
      </c>
      <c r="Y49" s="11" t="s">
        <v>33</v>
      </c>
      <c r="Z49" s="8" t="s">
        <v>45</v>
      </c>
      <c r="AA49" s="11" t="s">
        <v>46</v>
      </c>
      <c r="AB49" s="12">
        <f t="shared" si="1"/>
        <v>0.18182369999999998</v>
      </c>
    </row>
    <row r="50" spans="1:28" s="4" customFormat="1" ht="13" x14ac:dyDescent="0.3">
      <c r="A50" s="5">
        <v>2395</v>
      </c>
      <c r="B50" s="6" t="s">
        <v>164</v>
      </c>
      <c r="C50" s="7">
        <v>43729</v>
      </c>
      <c r="D50" s="8">
        <v>68</v>
      </c>
      <c r="E50" s="9" t="s">
        <v>61</v>
      </c>
      <c r="F50" s="8" t="s">
        <v>171</v>
      </c>
      <c r="G50" s="11" t="s">
        <v>172</v>
      </c>
      <c r="H50" s="8" t="str">
        <f>"000030"</f>
        <v>000030</v>
      </c>
      <c r="I50" s="7">
        <v>42934</v>
      </c>
      <c r="J50" s="8" t="str">
        <f>"000181"</f>
        <v>000181</v>
      </c>
      <c r="K50" s="7">
        <v>43182</v>
      </c>
      <c r="L50" s="8" t="str">
        <f>"000012"</f>
        <v>000012</v>
      </c>
      <c r="M50" s="7">
        <v>43195</v>
      </c>
      <c r="N50" s="8">
        <v>17</v>
      </c>
      <c r="O50" s="8" t="str">
        <f>"005014"</f>
        <v>005014</v>
      </c>
      <c r="P50" s="7">
        <v>43719</v>
      </c>
      <c r="Q50" s="12">
        <v>19.678550000000001</v>
      </c>
      <c r="R50" s="12">
        <v>0.88627999999999996</v>
      </c>
      <c r="S50" s="12">
        <v>18.792269999999998</v>
      </c>
      <c r="T50" s="8">
        <v>194</v>
      </c>
      <c r="U50" s="7">
        <v>43729</v>
      </c>
      <c r="V50" s="8">
        <v>0</v>
      </c>
      <c r="W50" s="11" t="s">
        <v>83</v>
      </c>
      <c r="X50" s="8" t="s">
        <v>32</v>
      </c>
      <c r="Y50" s="11" t="s">
        <v>33</v>
      </c>
      <c r="Z50" s="8" t="s">
        <v>45</v>
      </c>
      <c r="AA50" s="11" t="s">
        <v>46</v>
      </c>
      <c r="AB50" s="12">
        <f t="shared" si="1"/>
        <v>0.1967855</v>
      </c>
    </row>
    <row r="51" spans="1:28" s="4" customFormat="1" ht="13" x14ac:dyDescent="0.3">
      <c r="A51" s="5">
        <v>2396</v>
      </c>
      <c r="B51" s="6" t="s">
        <v>164</v>
      </c>
      <c r="C51" s="7">
        <v>43729</v>
      </c>
      <c r="D51" s="8">
        <v>68</v>
      </c>
      <c r="E51" s="9" t="s">
        <v>61</v>
      </c>
      <c r="F51" s="8" t="s">
        <v>173</v>
      </c>
      <c r="G51" s="11" t="s">
        <v>174</v>
      </c>
      <c r="H51" s="8" t="str">
        <f>"000071"</f>
        <v>000071</v>
      </c>
      <c r="I51" s="7">
        <v>42937</v>
      </c>
      <c r="J51" s="8" t="str">
        <f>"000182"</f>
        <v>000182</v>
      </c>
      <c r="K51" s="7">
        <v>43182</v>
      </c>
      <c r="L51" s="8" t="str">
        <f>"000013"</f>
        <v>000013</v>
      </c>
      <c r="M51" s="7">
        <v>43196</v>
      </c>
      <c r="N51" s="8">
        <v>17</v>
      </c>
      <c r="O51" s="8" t="str">
        <f>"005016"</f>
        <v>005016</v>
      </c>
      <c r="P51" s="7">
        <v>43719</v>
      </c>
      <c r="Q51" s="12">
        <v>29.969809999999999</v>
      </c>
      <c r="R51" s="12">
        <v>3.8333499999999998</v>
      </c>
      <c r="S51" s="12">
        <v>26.13646</v>
      </c>
      <c r="T51" s="8">
        <v>194</v>
      </c>
      <c r="U51" s="7">
        <v>43729</v>
      </c>
      <c r="V51" s="8">
        <v>9900333496</v>
      </c>
      <c r="W51" s="11" t="s">
        <v>42</v>
      </c>
      <c r="X51" s="8" t="s">
        <v>43</v>
      </c>
      <c r="Y51" s="11" t="s">
        <v>44</v>
      </c>
      <c r="Z51" s="8" t="s">
        <v>45</v>
      </c>
      <c r="AA51" s="11" t="s">
        <v>46</v>
      </c>
      <c r="AB51" s="12">
        <f t="shared" si="1"/>
        <v>0.29969809999999997</v>
      </c>
    </row>
    <row r="52" spans="1:28" s="4" customFormat="1" ht="13" x14ac:dyDescent="0.3">
      <c r="A52" s="5">
        <v>2397</v>
      </c>
      <c r="B52" s="6" t="s">
        <v>164</v>
      </c>
      <c r="C52" s="7">
        <v>43729</v>
      </c>
      <c r="D52" s="8">
        <v>68</v>
      </c>
      <c r="E52" s="9" t="s">
        <v>61</v>
      </c>
      <c r="F52" s="8" t="s">
        <v>175</v>
      </c>
      <c r="G52" s="11" t="s">
        <v>176</v>
      </c>
      <c r="H52" s="8" t="str">
        <f>"000329"</f>
        <v>000329</v>
      </c>
      <c r="I52" s="7">
        <v>42629</v>
      </c>
      <c r="J52" s="8" t="str">
        <f>"000397"</f>
        <v>000397</v>
      </c>
      <c r="K52" s="7">
        <v>42754</v>
      </c>
      <c r="L52" s="8" t="str">
        <f>"000851"</f>
        <v>000851</v>
      </c>
      <c r="M52" s="7">
        <v>42758</v>
      </c>
      <c r="N52" s="8">
        <v>16</v>
      </c>
      <c r="O52" s="8" t="str">
        <f>"005141"</f>
        <v>005141</v>
      </c>
      <c r="P52" s="7">
        <v>43725</v>
      </c>
      <c r="Q52" s="12">
        <v>19.590009999999999</v>
      </c>
      <c r="R52" s="12">
        <v>2.6683400000000002</v>
      </c>
      <c r="S52" s="12">
        <v>16.921669999999999</v>
      </c>
      <c r="T52" s="8">
        <v>196</v>
      </c>
      <c r="U52" s="7">
        <v>43729</v>
      </c>
      <c r="V52" s="8">
        <v>9900333496</v>
      </c>
      <c r="W52" s="11" t="s">
        <v>42</v>
      </c>
      <c r="X52" s="8" t="s">
        <v>43</v>
      </c>
      <c r="Y52" s="11" t="s">
        <v>44</v>
      </c>
      <c r="Z52" s="8" t="s">
        <v>45</v>
      </c>
      <c r="AA52" s="11" t="s">
        <v>46</v>
      </c>
      <c r="AB52" s="12">
        <f t="shared" si="1"/>
        <v>0.19590009999999999</v>
      </c>
    </row>
    <row r="53" spans="1:28" s="4" customFormat="1" ht="13" x14ac:dyDescent="0.3">
      <c r="A53" s="5">
        <v>2398</v>
      </c>
      <c r="B53" s="6" t="s">
        <v>164</v>
      </c>
      <c r="C53" s="7">
        <v>43731</v>
      </c>
      <c r="D53" s="8">
        <v>68</v>
      </c>
      <c r="E53" s="9" t="s">
        <v>61</v>
      </c>
      <c r="F53" s="8" t="s">
        <v>177</v>
      </c>
      <c r="G53" s="11" t="s">
        <v>178</v>
      </c>
      <c r="H53" s="8" t="str">
        <f>"000361"</f>
        <v>000361</v>
      </c>
      <c r="I53" s="7">
        <v>43180</v>
      </c>
      <c r="J53" s="8" t="str">
        <f>"000028"</f>
        <v>000028</v>
      </c>
      <c r="K53" s="7">
        <v>43238</v>
      </c>
      <c r="L53" s="8" t="str">
        <f>"000054"</f>
        <v>000054</v>
      </c>
      <c r="M53" s="7">
        <v>43238</v>
      </c>
      <c r="N53" s="8">
        <v>18</v>
      </c>
      <c r="O53" s="8" t="str">
        <f>"005145"</f>
        <v>005145</v>
      </c>
      <c r="P53" s="7">
        <v>43726</v>
      </c>
      <c r="Q53" s="12">
        <v>24.984490000000001</v>
      </c>
      <c r="R53" s="12">
        <v>2.9761700000000002</v>
      </c>
      <c r="S53" s="12">
        <v>22.008320000000001</v>
      </c>
      <c r="T53" s="8">
        <v>197</v>
      </c>
      <c r="U53" s="7">
        <v>43731</v>
      </c>
      <c r="V53" s="8">
        <v>9900333496</v>
      </c>
      <c r="W53" s="11" t="s">
        <v>42</v>
      </c>
      <c r="X53" s="8" t="s">
        <v>179</v>
      </c>
      <c r="Y53" s="11" t="s">
        <v>180</v>
      </c>
      <c r="Z53" s="8" t="s">
        <v>45</v>
      </c>
      <c r="AA53" s="11" t="s">
        <v>46</v>
      </c>
      <c r="AB53" s="12">
        <f t="shared" si="1"/>
        <v>0.24984490000000001</v>
      </c>
    </row>
    <row r="54" spans="1:28" s="4" customFormat="1" ht="13" x14ac:dyDescent="0.3">
      <c r="A54" s="5">
        <v>2399</v>
      </c>
      <c r="B54" s="6" t="s">
        <v>164</v>
      </c>
      <c r="C54" s="7">
        <v>43732</v>
      </c>
      <c r="D54" s="8">
        <v>68</v>
      </c>
      <c r="E54" s="9" t="s">
        <v>61</v>
      </c>
      <c r="F54" s="8" t="s">
        <v>181</v>
      </c>
      <c r="G54" s="11" t="s">
        <v>182</v>
      </c>
      <c r="H54" s="8" t="str">
        <f>"000030"</f>
        <v>000030</v>
      </c>
      <c r="I54" s="7">
        <v>43200</v>
      </c>
      <c r="J54" s="8" t="str">
        <f>"000009"</f>
        <v>000009</v>
      </c>
      <c r="K54" s="7">
        <v>43200</v>
      </c>
      <c r="L54" s="8" t="str">
        <f>"000024"</f>
        <v>000024</v>
      </c>
      <c r="M54" s="7">
        <v>43202</v>
      </c>
      <c r="N54" s="8">
        <v>17</v>
      </c>
      <c r="O54" s="8" t="str">
        <f>"005241"</f>
        <v>005241</v>
      </c>
      <c r="P54" s="7">
        <v>43728</v>
      </c>
      <c r="Q54" s="12">
        <v>14.35103</v>
      </c>
      <c r="R54" s="12">
        <v>0.70404999999999995</v>
      </c>
      <c r="S54" s="12">
        <v>13.646979999999999</v>
      </c>
      <c r="T54" s="8">
        <v>199</v>
      </c>
      <c r="U54" s="7">
        <v>43732</v>
      </c>
      <c r="V54" s="8">
        <v>0</v>
      </c>
      <c r="W54" s="11" t="s">
        <v>183</v>
      </c>
      <c r="X54" s="8" t="s">
        <v>32</v>
      </c>
      <c r="Y54" s="11" t="s">
        <v>33</v>
      </c>
      <c r="Z54" s="8" t="s">
        <v>45</v>
      </c>
      <c r="AA54" s="11" t="s">
        <v>46</v>
      </c>
      <c r="AB54" s="12">
        <f t="shared" si="1"/>
        <v>0.14351030000000001</v>
      </c>
    </row>
    <row r="55" spans="1:28" s="4" customFormat="1" ht="13" x14ac:dyDescent="0.3">
      <c r="A55" s="5">
        <v>2400</v>
      </c>
      <c r="B55" s="6" t="s">
        <v>164</v>
      </c>
      <c r="C55" s="7">
        <v>43732</v>
      </c>
      <c r="D55" s="8">
        <v>68</v>
      </c>
      <c r="E55" s="9" t="s">
        <v>61</v>
      </c>
      <c r="F55" s="8" t="s">
        <v>184</v>
      </c>
      <c r="G55" s="11" t="s">
        <v>185</v>
      </c>
      <c r="H55" s="8" t="str">
        <f>"000293"</f>
        <v>000293</v>
      </c>
      <c r="I55" s="7">
        <v>43158</v>
      </c>
      <c r="J55" s="8" t="str">
        <f>"000013"</f>
        <v>000013</v>
      </c>
      <c r="K55" s="7">
        <v>43203</v>
      </c>
      <c r="L55" s="8" t="str">
        <f>"000029"</f>
        <v>000029</v>
      </c>
      <c r="M55" s="7">
        <v>43206</v>
      </c>
      <c r="N55" s="8">
        <v>18</v>
      </c>
      <c r="O55" s="8" t="str">
        <f>"005258"</f>
        <v>005258</v>
      </c>
      <c r="P55" s="7">
        <v>43728</v>
      </c>
      <c r="Q55" s="12">
        <v>24.993939999999998</v>
      </c>
      <c r="R55" s="12">
        <v>3.01831</v>
      </c>
      <c r="S55" s="12">
        <v>21.975629999999999</v>
      </c>
      <c r="T55" s="8">
        <v>199</v>
      </c>
      <c r="U55" s="7">
        <v>43732</v>
      </c>
      <c r="V55" s="8">
        <v>9900333496</v>
      </c>
      <c r="W55" s="11" t="s">
        <v>42</v>
      </c>
      <c r="X55" s="8" t="s">
        <v>40</v>
      </c>
      <c r="Y55" s="11" t="s">
        <v>41</v>
      </c>
      <c r="Z55" s="8" t="s">
        <v>45</v>
      </c>
      <c r="AA55" s="11" t="s">
        <v>46</v>
      </c>
      <c r="AB55" s="12">
        <f t="shared" si="1"/>
        <v>0.24993939999999998</v>
      </c>
    </row>
    <row r="56" spans="1:28" s="4" customFormat="1" ht="13" x14ac:dyDescent="0.3">
      <c r="A56" s="5">
        <v>2401</v>
      </c>
      <c r="B56" s="6" t="s">
        <v>186</v>
      </c>
      <c r="C56" s="7">
        <v>43741</v>
      </c>
      <c r="D56" s="5">
        <v>68</v>
      </c>
      <c r="E56" s="9" t="s">
        <v>61</v>
      </c>
      <c r="F56" s="8" t="s">
        <v>156</v>
      </c>
      <c r="G56" s="9" t="s">
        <v>157</v>
      </c>
      <c r="H56" s="8" t="str">
        <f>"000278"</f>
        <v>000278</v>
      </c>
      <c r="I56" s="7">
        <v>43522</v>
      </c>
      <c r="J56" s="8" t="str">
        <f>"000071"</f>
        <v>000071</v>
      </c>
      <c r="K56" s="7">
        <v>43619</v>
      </c>
      <c r="L56" s="8" t="str">
        <f>"000116"</f>
        <v>000116</v>
      </c>
      <c r="M56" s="7">
        <v>43623</v>
      </c>
      <c r="N56" s="8">
        <v>19</v>
      </c>
      <c r="O56" s="8" t="str">
        <f>"004785"</f>
        <v>004785</v>
      </c>
      <c r="P56" s="7">
        <v>43704</v>
      </c>
      <c r="Q56" s="10">
        <v>2.95</v>
      </c>
      <c r="R56" s="10">
        <v>0.29499999999999998</v>
      </c>
      <c r="S56" s="10">
        <v>2.6549999999999998</v>
      </c>
      <c r="T56" s="8">
        <v>13</v>
      </c>
      <c r="U56" s="7">
        <v>43741</v>
      </c>
      <c r="V56" s="8">
        <v>8618239904</v>
      </c>
      <c r="W56" s="9" t="s">
        <v>187</v>
      </c>
      <c r="X56" s="8" t="s">
        <v>158</v>
      </c>
      <c r="Y56" s="9" t="s">
        <v>159</v>
      </c>
      <c r="Z56" s="8" t="s">
        <v>45</v>
      </c>
      <c r="AA56" s="9" t="s">
        <v>46</v>
      </c>
      <c r="AB56" s="10">
        <v>2.9500000000000002E-2</v>
      </c>
    </row>
    <row r="57" spans="1:28" s="4" customFormat="1" ht="13" x14ac:dyDescent="0.3">
      <c r="A57" s="5">
        <v>2402</v>
      </c>
      <c r="B57" s="6" t="s">
        <v>186</v>
      </c>
      <c r="C57" s="7">
        <v>43741</v>
      </c>
      <c r="D57" s="5">
        <v>68</v>
      </c>
      <c r="E57" s="9" t="s">
        <v>61</v>
      </c>
      <c r="F57" s="8" t="s">
        <v>160</v>
      </c>
      <c r="G57" s="9" t="s">
        <v>161</v>
      </c>
      <c r="H57" s="8" t="str">
        <f>"000345"</f>
        <v>000345</v>
      </c>
      <c r="I57" s="7">
        <v>43532</v>
      </c>
      <c r="J57" s="8" t="str">
        <f>"000072"</f>
        <v>000072</v>
      </c>
      <c r="K57" s="7">
        <v>43619</v>
      </c>
      <c r="L57" s="8" t="str">
        <f>"000117"</f>
        <v>000117</v>
      </c>
      <c r="M57" s="7">
        <v>43623</v>
      </c>
      <c r="N57" s="8">
        <v>19</v>
      </c>
      <c r="O57" s="8" t="str">
        <f>"004798"</f>
        <v>004798</v>
      </c>
      <c r="P57" s="7">
        <v>43704</v>
      </c>
      <c r="Q57" s="10">
        <v>1.782</v>
      </c>
      <c r="R57" s="10">
        <v>0.1782</v>
      </c>
      <c r="S57" s="10">
        <v>1.6037999999999999</v>
      </c>
      <c r="T57" s="8">
        <v>13</v>
      </c>
      <c r="U57" s="7">
        <v>43741</v>
      </c>
      <c r="V57" s="8">
        <v>9538136111</v>
      </c>
      <c r="W57" s="9" t="s">
        <v>188</v>
      </c>
      <c r="X57" s="8" t="s">
        <v>158</v>
      </c>
      <c r="Y57" s="9" t="s">
        <v>159</v>
      </c>
      <c r="Z57" s="8" t="s">
        <v>45</v>
      </c>
      <c r="AA57" s="9" t="s">
        <v>46</v>
      </c>
      <c r="AB57" s="10">
        <v>1.7819999999999999E-2</v>
      </c>
    </row>
    <row r="58" spans="1:28" s="4" customFormat="1" ht="13" x14ac:dyDescent="0.3">
      <c r="A58" s="5">
        <v>2403</v>
      </c>
      <c r="B58" s="6" t="s">
        <v>186</v>
      </c>
      <c r="C58" s="7">
        <v>43748</v>
      </c>
      <c r="D58" s="5">
        <v>68</v>
      </c>
      <c r="E58" s="9" t="s">
        <v>61</v>
      </c>
      <c r="F58" s="8" t="s">
        <v>189</v>
      </c>
      <c r="G58" s="9" t="s">
        <v>190</v>
      </c>
      <c r="H58" s="8" t="str">
        <f>"000499"</f>
        <v>000499</v>
      </c>
      <c r="I58" s="7">
        <v>43187</v>
      </c>
      <c r="J58" s="8" t="str">
        <f>"000143"</f>
        <v>000143</v>
      </c>
      <c r="K58" s="7">
        <v>43342</v>
      </c>
      <c r="L58" s="8" t="str">
        <f>"000261"</f>
        <v>000261</v>
      </c>
      <c r="M58" s="7">
        <v>43343</v>
      </c>
      <c r="N58" s="8">
        <v>18</v>
      </c>
      <c r="O58" s="8" t="str">
        <f>"005681"</f>
        <v>005681</v>
      </c>
      <c r="P58" s="7">
        <v>43748</v>
      </c>
      <c r="Q58" s="10">
        <v>29.07301</v>
      </c>
      <c r="R58" s="10">
        <v>3.54901</v>
      </c>
      <c r="S58" s="10">
        <v>25.524000000000001</v>
      </c>
      <c r="T58" s="8">
        <v>13</v>
      </c>
      <c r="U58" s="7">
        <v>43748</v>
      </c>
      <c r="V58" s="8">
        <v>9900333496</v>
      </c>
      <c r="W58" s="9" t="s">
        <v>42</v>
      </c>
      <c r="X58" s="8" t="s">
        <v>49</v>
      </c>
      <c r="Y58" s="9" t="s">
        <v>50</v>
      </c>
      <c r="Z58" s="8" t="s">
        <v>45</v>
      </c>
      <c r="AA58" s="9" t="s">
        <v>46</v>
      </c>
      <c r="AB58" s="10">
        <v>0.29073009999999999</v>
      </c>
    </row>
    <row r="59" spans="1:28" s="4" customFormat="1" ht="13" x14ac:dyDescent="0.3">
      <c r="A59" s="5">
        <v>2404</v>
      </c>
      <c r="B59" s="6" t="s">
        <v>186</v>
      </c>
      <c r="C59" s="7">
        <v>43752</v>
      </c>
      <c r="D59" s="5">
        <v>68</v>
      </c>
      <c r="E59" s="9" t="s">
        <v>61</v>
      </c>
      <c r="F59" s="8" t="s">
        <v>191</v>
      </c>
      <c r="G59" s="9" t="s">
        <v>192</v>
      </c>
      <c r="H59" s="8" t="str">
        <f>"000296"</f>
        <v>000296</v>
      </c>
      <c r="I59" s="7">
        <v>43159</v>
      </c>
      <c r="J59" s="8" t="str">
        <f>"000018"</f>
        <v>000018</v>
      </c>
      <c r="K59" s="7">
        <v>43217</v>
      </c>
      <c r="L59" s="8" t="str">
        <f>"000039"</f>
        <v>000039</v>
      </c>
      <c r="M59" s="7">
        <v>43217</v>
      </c>
      <c r="N59" s="8">
        <v>18</v>
      </c>
      <c r="O59" s="8" t="str">
        <f>"005537"</f>
        <v>005537</v>
      </c>
      <c r="P59" s="7">
        <v>43739</v>
      </c>
      <c r="Q59" s="10">
        <v>19.880559999999999</v>
      </c>
      <c r="R59" s="10">
        <v>2.2244199999999998</v>
      </c>
      <c r="S59" s="10">
        <v>17.656140000000001</v>
      </c>
      <c r="T59" s="8">
        <v>13</v>
      </c>
      <c r="U59" s="7">
        <v>43752</v>
      </c>
      <c r="V59" s="8">
        <v>9900333496</v>
      </c>
      <c r="W59" s="9" t="s">
        <v>42</v>
      </c>
      <c r="X59" s="8" t="s">
        <v>40</v>
      </c>
      <c r="Y59" s="9" t="s">
        <v>41</v>
      </c>
      <c r="Z59" s="8" t="s">
        <v>45</v>
      </c>
      <c r="AA59" s="9" t="s">
        <v>46</v>
      </c>
      <c r="AB59" s="10">
        <v>0.1988056</v>
      </c>
    </row>
    <row r="60" spans="1:28" s="4" customFormat="1" ht="13" x14ac:dyDescent="0.3">
      <c r="A60" s="5">
        <v>2405</v>
      </c>
      <c r="B60" s="6" t="s">
        <v>186</v>
      </c>
      <c r="C60" s="7">
        <v>43761</v>
      </c>
      <c r="D60" s="5">
        <v>68</v>
      </c>
      <c r="E60" s="9" t="s">
        <v>61</v>
      </c>
      <c r="F60" s="8" t="s">
        <v>193</v>
      </c>
      <c r="G60" s="9" t="s">
        <v>194</v>
      </c>
      <c r="H60" s="8" t="str">
        <f>"000277"</f>
        <v>000277</v>
      </c>
      <c r="I60" s="7">
        <v>43522</v>
      </c>
      <c r="J60" s="8" t="str">
        <f>"000125"</f>
        <v>000125</v>
      </c>
      <c r="K60" s="7">
        <v>43677</v>
      </c>
      <c r="L60" s="8" t="str">
        <f>"000201"</f>
        <v>000201</v>
      </c>
      <c r="M60" s="7">
        <v>43678</v>
      </c>
      <c r="N60" s="8">
        <v>19</v>
      </c>
      <c r="O60" s="8" t="str">
        <f>"005770"</f>
        <v>005770</v>
      </c>
      <c r="P60" s="7">
        <v>43754</v>
      </c>
      <c r="Q60" s="10">
        <v>59.072339999999997</v>
      </c>
      <c r="R60" s="10">
        <v>6.9247300000000003</v>
      </c>
      <c r="S60" s="10">
        <v>52.14761</v>
      </c>
      <c r="T60" s="8">
        <v>13</v>
      </c>
      <c r="U60" s="7">
        <v>43761</v>
      </c>
      <c r="V60" s="8">
        <v>9900333496</v>
      </c>
      <c r="W60" s="9" t="s">
        <v>42</v>
      </c>
      <c r="X60" s="8" t="s">
        <v>158</v>
      </c>
      <c r="Y60" s="9" t="s">
        <v>159</v>
      </c>
      <c r="Z60" s="8" t="s">
        <v>45</v>
      </c>
      <c r="AA60" s="9" t="s">
        <v>46</v>
      </c>
      <c r="AB60" s="10">
        <v>0.59072340000000001</v>
      </c>
    </row>
    <row r="61" spans="1:28" s="4" customFormat="1" ht="13" x14ac:dyDescent="0.3">
      <c r="A61" s="5">
        <v>2406</v>
      </c>
      <c r="B61" s="6" t="s">
        <v>195</v>
      </c>
      <c r="C61" s="7">
        <v>43797</v>
      </c>
      <c r="D61" s="5">
        <v>68</v>
      </c>
      <c r="E61" s="9" t="s">
        <v>61</v>
      </c>
      <c r="F61" s="8" t="s">
        <v>196</v>
      </c>
      <c r="G61" s="9" t="s">
        <v>197</v>
      </c>
      <c r="H61" s="8" t="str">
        <f>"000506"</f>
        <v>000506</v>
      </c>
      <c r="I61" s="7">
        <v>43187</v>
      </c>
      <c r="J61" s="8" t="str">
        <f>"000151"</f>
        <v>000151</v>
      </c>
      <c r="K61" s="7">
        <v>43347</v>
      </c>
      <c r="L61" s="8" t="str">
        <f>"000277"</f>
        <v>000277</v>
      </c>
      <c r="M61" s="7">
        <v>43361</v>
      </c>
      <c r="N61" s="8">
        <v>18</v>
      </c>
      <c r="O61" s="8" t="str">
        <f>"006268"</f>
        <v>006268</v>
      </c>
      <c r="P61" s="7">
        <v>43787</v>
      </c>
      <c r="Q61" s="10">
        <v>29.07301</v>
      </c>
      <c r="R61" s="10">
        <v>3.54901</v>
      </c>
      <c r="S61" s="10">
        <v>25.524000000000001</v>
      </c>
      <c r="T61" s="8">
        <v>13</v>
      </c>
      <c r="U61" s="7">
        <v>43797</v>
      </c>
      <c r="V61" s="8">
        <v>9900333496</v>
      </c>
      <c r="W61" s="9" t="s">
        <v>42</v>
      </c>
      <c r="X61" s="8" t="s">
        <v>49</v>
      </c>
      <c r="Y61" s="9" t="s">
        <v>50</v>
      </c>
      <c r="Z61" s="8" t="s">
        <v>45</v>
      </c>
      <c r="AA61" s="9" t="s">
        <v>46</v>
      </c>
      <c r="AB61" s="10">
        <v>0.29073009999999999</v>
      </c>
    </row>
    <row r="62" spans="1:28" s="4" customFormat="1" ht="13" x14ac:dyDescent="0.3">
      <c r="A62" s="5">
        <v>2407</v>
      </c>
      <c r="B62" s="6" t="s">
        <v>195</v>
      </c>
      <c r="C62" s="7">
        <v>43798</v>
      </c>
      <c r="D62" s="5">
        <v>68</v>
      </c>
      <c r="E62" s="9" t="s">
        <v>61</v>
      </c>
      <c r="F62" s="8" t="s">
        <v>198</v>
      </c>
      <c r="G62" s="9" t="s">
        <v>199</v>
      </c>
      <c r="H62" s="8" t="str">
        <f>"000279"</f>
        <v>000279</v>
      </c>
      <c r="I62" s="7">
        <v>43522</v>
      </c>
      <c r="J62" s="8" t="str">
        <f>"000154"</f>
        <v>000154</v>
      </c>
      <c r="K62" s="7">
        <v>43711</v>
      </c>
      <c r="L62" s="8" t="str">
        <f>"000220"</f>
        <v>000220</v>
      </c>
      <c r="M62" s="7">
        <v>43714</v>
      </c>
      <c r="N62" s="8">
        <v>19</v>
      </c>
      <c r="O62" s="8" t="str">
        <f>"006320"</f>
        <v>006320</v>
      </c>
      <c r="P62" s="7">
        <v>43791</v>
      </c>
      <c r="Q62" s="10">
        <v>59.030349999999999</v>
      </c>
      <c r="R62" s="10">
        <v>7.2257600000000002</v>
      </c>
      <c r="S62" s="10">
        <v>51.804589999999997</v>
      </c>
      <c r="T62" s="8">
        <v>13</v>
      </c>
      <c r="U62" s="7">
        <v>43798</v>
      </c>
      <c r="V62" s="8">
        <v>9900333496</v>
      </c>
      <c r="W62" s="9" t="s">
        <v>42</v>
      </c>
      <c r="X62" s="8" t="s">
        <v>158</v>
      </c>
      <c r="Y62" s="9" t="s">
        <v>159</v>
      </c>
      <c r="Z62" s="8" t="s">
        <v>45</v>
      </c>
      <c r="AA62" s="9" t="s">
        <v>46</v>
      </c>
      <c r="AB62" s="10">
        <v>0.59030349999999998</v>
      </c>
    </row>
    <row r="63" spans="1:28" s="4" customFormat="1" ht="13" x14ac:dyDescent="0.3">
      <c r="A63" s="5">
        <v>2408</v>
      </c>
      <c r="B63" s="6" t="s">
        <v>200</v>
      </c>
      <c r="C63" s="7">
        <v>43805</v>
      </c>
      <c r="D63" s="5">
        <v>68</v>
      </c>
      <c r="E63" s="9" t="s">
        <v>61</v>
      </c>
      <c r="F63" s="8" t="s">
        <v>201</v>
      </c>
      <c r="G63" s="9" t="s">
        <v>202</v>
      </c>
      <c r="H63" s="8" t="str">
        <f>"000362"</f>
        <v>000362</v>
      </c>
      <c r="I63" s="7">
        <v>43180</v>
      </c>
      <c r="J63" s="8" t="str">
        <f>"000031"</f>
        <v>000031</v>
      </c>
      <c r="K63" s="7">
        <v>43245</v>
      </c>
      <c r="L63" s="8" t="str">
        <f>"000058"</f>
        <v>000058</v>
      </c>
      <c r="M63" s="7">
        <v>43245</v>
      </c>
      <c r="N63" s="8">
        <v>18</v>
      </c>
      <c r="O63" s="8" t="str">
        <f>"006560"</f>
        <v>006560</v>
      </c>
      <c r="P63" s="7">
        <v>43802</v>
      </c>
      <c r="Q63" s="10">
        <v>39.981169999999999</v>
      </c>
      <c r="R63" s="10">
        <v>5.3795000000000002</v>
      </c>
      <c r="S63" s="10">
        <v>34.601669999999999</v>
      </c>
      <c r="T63" s="8">
        <v>13</v>
      </c>
      <c r="U63" s="7">
        <v>43805</v>
      </c>
      <c r="V63" s="8">
        <v>9900333496</v>
      </c>
      <c r="W63" s="9" t="s">
        <v>42</v>
      </c>
      <c r="X63" s="8" t="s">
        <v>43</v>
      </c>
      <c r="Y63" s="9" t="s">
        <v>44</v>
      </c>
      <c r="Z63" s="8" t="s">
        <v>45</v>
      </c>
      <c r="AA63" s="9" t="s">
        <v>46</v>
      </c>
      <c r="AB63" s="10">
        <v>0.39981169999999999</v>
      </c>
    </row>
    <row r="64" spans="1:28" s="4" customFormat="1" ht="13" x14ac:dyDescent="0.3">
      <c r="A64" s="5">
        <v>2409</v>
      </c>
      <c r="B64" s="6" t="s">
        <v>200</v>
      </c>
      <c r="C64" s="7">
        <v>43809</v>
      </c>
      <c r="D64" s="5">
        <v>68</v>
      </c>
      <c r="E64" s="9" t="s">
        <v>61</v>
      </c>
      <c r="F64" s="8" t="s">
        <v>203</v>
      </c>
      <c r="G64" s="9" t="s">
        <v>204</v>
      </c>
      <c r="H64" s="8" t="str">
        <f>"000436"</f>
        <v>000436</v>
      </c>
      <c r="I64" s="7">
        <v>43186</v>
      </c>
      <c r="J64" s="8" t="str">
        <f>"000132"</f>
        <v>000132</v>
      </c>
      <c r="K64" s="7">
        <v>43333</v>
      </c>
      <c r="L64" s="8" t="str">
        <f>"000247"</f>
        <v>000247</v>
      </c>
      <c r="M64" s="7">
        <v>43335</v>
      </c>
      <c r="N64" s="8">
        <v>18</v>
      </c>
      <c r="O64" s="8" t="str">
        <f>"006660"</f>
        <v>006660</v>
      </c>
      <c r="P64" s="7">
        <v>43805</v>
      </c>
      <c r="Q64" s="10">
        <v>29.354679999999998</v>
      </c>
      <c r="R64" s="10">
        <v>3.5852499999999998</v>
      </c>
      <c r="S64" s="10">
        <v>25.76943</v>
      </c>
      <c r="T64" s="8">
        <v>13</v>
      </c>
      <c r="U64" s="7">
        <v>43809</v>
      </c>
      <c r="V64" s="8">
        <v>9900333496</v>
      </c>
      <c r="W64" s="9" t="s">
        <v>42</v>
      </c>
      <c r="X64" s="8" t="s">
        <v>43</v>
      </c>
      <c r="Y64" s="9" t="s">
        <v>44</v>
      </c>
      <c r="Z64" s="8" t="s">
        <v>45</v>
      </c>
      <c r="AA64" s="9" t="s">
        <v>46</v>
      </c>
      <c r="AB64" s="10">
        <v>0.2935468</v>
      </c>
    </row>
    <row r="65" spans="1:28" s="4" customFormat="1" ht="13" x14ac:dyDescent="0.3">
      <c r="A65" s="5">
        <v>2410</v>
      </c>
      <c r="B65" s="6" t="s">
        <v>200</v>
      </c>
      <c r="C65" s="7">
        <v>43815</v>
      </c>
      <c r="D65" s="5">
        <v>68</v>
      </c>
      <c r="E65" s="9" t="s">
        <v>61</v>
      </c>
      <c r="F65" s="8" t="s">
        <v>205</v>
      </c>
      <c r="G65" s="9" t="s">
        <v>206</v>
      </c>
      <c r="H65" s="8" t="str">
        <f>"000501"</f>
        <v>000501</v>
      </c>
      <c r="I65" s="7">
        <v>43187</v>
      </c>
      <c r="J65" s="8" t="str">
        <f>"000037"</f>
        <v>000037</v>
      </c>
      <c r="K65" s="7">
        <v>43249</v>
      </c>
      <c r="L65" s="8" t="str">
        <f>"000064"</f>
        <v>000064</v>
      </c>
      <c r="M65" s="7">
        <v>43249</v>
      </c>
      <c r="N65" s="8">
        <v>18</v>
      </c>
      <c r="O65" s="8" t="str">
        <f>"006568"</f>
        <v>006568</v>
      </c>
      <c r="P65" s="7">
        <v>43802</v>
      </c>
      <c r="Q65" s="10">
        <v>19.962140000000002</v>
      </c>
      <c r="R65" s="10">
        <v>2.3033899999999998</v>
      </c>
      <c r="S65" s="10">
        <v>17.658750000000001</v>
      </c>
      <c r="T65" s="8">
        <v>13</v>
      </c>
      <c r="U65" s="7">
        <v>43815</v>
      </c>
      <c r="V65" s="8">
        <v>9900333496</v>
      </c>
      <c r="W65" s="9" t="s">
        <v>42</v>
      </c>
      <c r="X65" s="8" t="s">
        <v>49</v>
      </c>
      <c r="Y65" s="9" t="s">
        <v>50</v>
      </c>
      <c r="Z65" s="8" t="s">
        <v>45</v>
      </c>
      <c r="AA65" s="9" t="s">
        <v>46</v>
      </c>
      <c r="AB65" s="10">
        <v>0.1996214</v>
      </c>
    </row>
    <row r="66" spans="1:28" s="4" customFormat="1" ht="13" x14ac:dyDescent="0.3">
      <c r="A66" s="5">
        <v>2411</v>
      </c>
      <c r="B66" s="6" t="s">
        <v>200</v>
      </c>
      <c r="C66" s="7">
        <v>43815</v>
      </c>
      <c r="D66" s="5">
        <v>68</v>
      </c>
      <c r="E66" s="9" t="s">
        <v>61</v>
      </c>
      <c r="F66" s="8" t="s">
        <v>207</v>
      </c>
      <c r="G66" s="9" t="s">
        <v>208</v>
      </c>
      <c r="H66" s="8" t="str">
        <f>"000349"</f>
        <v>000349</v>
      </c>
      <c r="I66" s="7">
        <v>43179</v>
      </c>
      <c r="J66" s="8" t="str">
        <f>"000036"</f>
        <v>000036</v>
      </c>
      <c r="K66" s="7">
        <v>43249</v>
      </c>
      <c r="L66" s="8" t="str">
        <f>"000066"</f>
        <v>000066</v>
      </c>
      <c r="M66" s="7">
        <v>43250</v>
      </c>
      <c r="N66" s="8">
        <v>18</v>
      </c>
      <c r="O66" s="8" t="str">
        <f>"006573"</f>
        <v>006573</v>
      </c>
      <c r="P66" s="7">
        <v>43802</v>
      </c>
      <c r="Q66" s="10">
        <v>39.959919999999997</v>
      </c>
      <c r="R66" s="10">
        <v>4.9282599999999999</v>
      </c>
      <c r="S66" s="10">
        <v>35.031660000000002</v>
      </c>
      <c r="T66" s="8">
        <v>13</v>
      </c>
      <c r="U66" s="7">
        <v>43815</v>
      </c>
      <c r="V66" s="8">
        <v>9900333496</v>
      </c>
      <c r="W66" s="9" t="s">
        <v>42</v>
      </c>
      <c r="X66" s="8" t="s">
        <v>49</v>
      </c>
      <c r="Y66" s="9" t="s">
        <v>50</v>
      </c>
      <c r="Z66" s="8" t="s">
        <v>45</v>
      </c>
      <c r="AA66" s="9" t="s">
        <v>46</v>
      </c>
      <c r="AB66" s="10">
        <v>0.39959919999999999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2020-01-28T11:54:55Z</dcterms:modified>
</cp:coreProperties>
</file>