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6" i="1" l="1"/>
  <c r="L66" i="1"/>
  <c r="J66" i="1"/>
  <c r="H66" i="1"/>
  <c r="O65" i="1"/>
  <c r="L65" i="1"/>
  <c r="J65" i="1"/>
  <c r="H65" i="1"/>
  <c r="O64" i="1"/>
  <c r="L64" i="1"/>
  <c r="J64" i="1"/>
  <c r="H64" i="1"/>
  <c r="O63" i="1"/>
  <c r="L63" i="1"/>
  <c r="J63" i="1"/>
  <c r="H63" i="1"/>
  <c r="O62" i="1"/>
  <c r="L62" i="1"/>
  <c r="J62" i="1"/>
  <c r="H62" i="1"/>
  <c r="O61" i="1"/>
  <c r="L61" i="1"/>
  <c r="J61" i="1"/>
  <c r="H61" i="1"/>
  <c r="O60" i="1"/>
  <c r="L60" i="1"/>
  <c r="J60" i="1"/>
  <c r="H60" i="1"/>
  <c r="O59" i="1"/>
  <c r="L59" i="1"/>
  <c r="J59" i="1"/>
  <c r="H59" i="1"/>
  <c r="O58" i="1"/>
  <c r="L58" i="1"/>
  <c r="J58" i="1"/>
  <c r="H58" i="1"/>
  <c r="O57" i="1"/>
  <c r="L57" i="1"/>
  <c r="J57" i="1"/>
  <c r="H57" i="1"/>
  <c r="O56" i="1"/>
  <c r="L56" i="1"/>
  <c r="J56" i="1"/>
  <c r="H56" i="1"/>
  <c r="O55" i="1"/>
  <c r="L55" i="1"/>
  <c r="J55" i="1"/>
  <c r="H55" i="1"/>
  <c r="O54" i="1"/>
  <c r="L54" i="1"/>
  <c r="J54" i="1"/>
  <c r="H54" i="1"/>
  <c r="O53" i="1"/>
  <c r="L53" i="1"/>
  <c r="J53" i="1"/>
  <c r="H53" i="1"/>
  <c r="O52" i="1"/>
  <c r="L52" i="1"/>
  <c r="J52" i="1"/>
  <c r="H52" i="1"/>
  <c r="O51" i="1"/>
  <c r="L51" i="1"/>
  <c r="J51" i="1"/>
  <c r="H51" i="1"/>
  <c r="O50" i="1"/>
  <c r="L50" i="1"/>
  <c r="J50" i="1"/>
  <c r="H50" i="1"/>
  <c r="AB49" i="1"/>
  <c r="O49" i="1"/>
  <c r="L49" i="1"/>
  <c r="J49" i="1"/>
  <c r="H49" i="1"/>
  <c r="AB48" i="1"/>
  <c r="O48" i="1"/>
  <c r="L48" i="1"/>
  <c r="J48" i="1"/>
  <c r="H48" i="1"/>
  <c r="AB47" i="1"/>
  <c r="O47" i="1"/>
  <c r="L47" i="1"/>
  <c r="J47" i="1"/>
  <c r="H47" i="1"/>
  <c r="AB46" i="1"/>
  <c r="O46" i="1"/>
  <c r="L46" i="1"/>
  <c r="J46" i="1"/>
  <c r="H46" i="1"/>
  <c r="AB45" i="1"/>
  <c r="O45" i="1"/>
  <c r="L45" i="1"/>
  <c r="J45" i="1"/>
  <c r="H45" i="1"/>
  <c r="AB44" i="1"/>
  <c r="O44" i="1"/>
  <c r="L44" i="1"/>
  <c r="J44" i="1"/>
  <c r="H44" i="1"/>
  <c r="AB43" i="1"/>
  <c r="O43" i="1"/>
  <c r="L43" i="1"/>
  <c r="J43" i="1"/>
  <c r="H43" i="1"/>
  <c r="AB42" i="1"/>
  <c r="O42" i="1"/>
  <c r="L42" i="1"/>
  <c r="J42" i="1"/>
  <c r="H42" i="1"/>
  <c r="AB41" i="1"/>
  <c r="O41" i="1"/>
  <c r="L41" i="1"/>
  <c r="J41" i="1"/>
  <c r="H41" i="1"/>
  <c r="O40" i="1"/>
  <c r="L40" i="1"/>
  <c r="J40" i="1"/>
  <c r="H40" i="1"/>
  <c r="O39" i="1"/>
  <c r="L39" i="1"/>
  <c r="J39" i="1"/>
  <c r="H39" i="1"/>
  <c r="O38" i="1"/>
  <c r="L38" i="1"/>
  <c r="J38" i="1"/>
  <c r="H38" i="1"/>
  <c r="O37" i="1"/>
  <c r="L37" i="1"/>
  <c r="J37" i="1"/>
  <c r="H37" i="1"/>
  <c r="O36" i="1"/>
  <c r="L36" i="1"/>
  <c r="J36" i="1"/>
  <c r="H36"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<sst xmlns="http://schemas.openxmlformats.org/spreadsheetml/2006/main" count="613" uniqueCount="243">
  <si>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</si>
  <si>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</si>
  <si>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</si>
  <si>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</si>
  <si>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</si>
  <si>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</si>
  <si>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</si>
  <si>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</si>
  <si>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</si>
  <si>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</si>
  <si>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</si>
  <si>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</si>
  <si>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</si>
  <si>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</si>
  <si>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</si>
  <si>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</si>
  <si>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</si>
  <si>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</si>
  <si>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</si>
  <si>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</si>
  <si>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</si>
  <si>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</si>
  <si>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</si>
  <si>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</si>
  <si>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</si>
  <si>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</si>
  <si>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</si>
  <si>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</si>
  <si>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</si>
  <si>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</si>
  <si>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</si>
  <si>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ddo617</t>
  </si>
  <si>
    <t xml:space="preserve"> Executive Engineer Electrical Yelhanka Zone</t>
  </si>
  <si>
    <t>P3158</t>
  </si>
  <si>
    <t>SIP Infrastructure Project works</t>
  </si>
  <si>
    <t>ddo235</t>
  </si>
  <si>
    <t xml:space="preserve"> Assistant Executive Engineer Project-1 Yelahanka Zone</t>
  </si>
  <si>
    <t>June</t>
  </si>
  <si>
    <t>P1771</t>
  </si>
  <si>
    <t>Zone Works - POW Works</t>
  </si>
  <si>
    <t>May</t>
  </si>
  <si>
    <t>P3089</t>
  </si>
  <si>
    <t>Special Development works in 7 CMC and 1 TMC area in BBMP</t>
  </si>
  <si>
    <t>18per - Works (Bhagyajyothi, Sooru / Neeru Yojane and General) (54 Lakhs / New Wards)</t>
  </si>
  <si>
    <t>P1878</t>
  </si>
  <si>
    <t>Sri.Pradeepkumar.S.N Prof of M/s Ganga Enterprises</t>
  </si>
  <si>
    <t>P3106</t>
  </si>
  <si>
    <t>Nagarothana Works</t>
  </si>
  <si>
    <t>M/S KRIDL</t>
  </si>
  <si>
    <t>Executive Engineer,Karnataka Rural Infrastructure Development Ltd</t>
  </si>
  <si>
    <t>Technical Manger(West)</t>
  </si>
  <si>
    <t>D Narahari Benaka Developers &amp; Projects Pvt Ltd</t>
  </si>
  <si>
    <t>P3290</t>
  </si>
  <si>
    <t>14th Finance Commission Works - Providing Street Lights and Maintenance</t>
  </si>
  <si>
    <t>Byatarayana Pura</t>
  </si>
  <si>
    <t>007-18-000102</t>
  </si>
  <si>
    <t>Improvements of Roads and drains in Jakkur Colony and surrounding areas in ward No 7 Byatarayanapura</t>
  </si>
  <si>
    <t>B M Muniraju</t>
  </si>
  <si>
    <t>ddo475</t>
  </si>
  <si>
    <t xml:space="preserve"> Assistant Executive Engineer Virupakshapura Sub division Yelhanka Zone</t>
  </si>
  <si>
    <t>007-18-000101</t>
  </si>
  <si>
    <t>Improvements of Roads and drains in behind Anjineya Temple in ward No 7 Byatarayanapura</t>
  </si>
  <si>
    <t>007-18-000099</t>
  </si>
  <si>
    <t>Improvements to Roads and drains in Janatha Colony Hebbal Kempapura in ward No 7 Byatarayanapura</t>
  </si>
  <si>
    <t>M Prakash</t>
  </si>
  <si>
    <t>007-18-000100</t>
  </si>
  <si>
    <t>Improvements to Roads and drains in Jakkur Colony in ward No 7 Byatarayanapura</t>
  </si>
  <si>
    <t>007-16-000014</t>
  </si>
  <si>
    <t>Operation and maintenance of Street lights in Byatarayanapura Ward W No 7PackageY 7</t>
  </si>
  <si>
    <t>007-16-000031</t>
  </si>
  <si>
    <t>Consultancy Services for Project Management Consultancy for the work of Improvements to Roads Drains and Drilling borewells in ward no:07 &amp; 08 of Byatarayanapura Sub Division. (package Consists of 17 works of Rs. 610.10 Lakhs)</t>
  </si>
  <si>
    <t>P Munikrishnappa M/S RBI Technical Services</t>
  </si>
  <si>
    <t>007-16-000043</t>
  </si>
  <si>
    <t>Consultancy Services for Preparation of DPR (which includes Survey,Designs, Drawing, Estimate etc.,) for Package No.02 (package consists of 21 works of Rs.740.00 Lakhs)</t>
  </si>
  <si>
    <t>B V H Engineers, Malagonda Basagonda Naik</t>
  </si>
  <si>
    <t>007-18-000109</t>
  </si>
  <si>
    <t>Consultancy Services for Preparation of DPR (Which includes Survey Designs, Drawing,Estimate etc.,) and for Project Management Consultancy for Package No.02 (Package Consists of 14 Works)</t>
  </si>
  <si>
    <t>007-16-000011</t>
  </si>
  <si>
    <t>Improvements to Roads in U.A.S Layout End Roads in ward no 7 Kodigehalli Sub Division</t>
  </si>
  <si>
    <t>Ninganagowda V Patil</t>
  </si>
  <si>
    <t>007-17-000037</t>
  </si>
  <si>
    <t>Upgradation and Improvement to Hebbala Kempapura electrical Crematorium furnance No-2 in ward no 07</t>
  </si>
  <si>
    <t>Tecnical Manejar KRIDL</t>
  </si>
  <si>
    <t>P0486</t>
  </si>
  <si>
    <t>MandR to Burial Grounds and Burning ghats / Electrical creamtoruim</t>
  </si>
  <si>
    <t>007-17-000016</t>
  </si>
  <si>
    <t>PROVIDING LAYING AND REPAIRS OF NAME BOARDS IN SAHAKARANAGARA BYATARAYANAPURA AMRUTHALLI AND SURROUNDING AREAS OF WARD NO 7 BYATARAYANAPURA</t>
  </si>
  <si>
    <t>N N Sreenivasaiah</t>
  </si>
  <si>
    <t>007-19-000007</t>
  </si>
  <si>
    <t>IMVPROVEMENTS TO ROADS AND DRAINS IN JAKKUR LAYOUT AND SURROUNDING AREAS IN WARD NO 7 BYATARAYANAPURA</t>
  </si>
  <si>
    <t>Executive Engineer, Karnataka Rural Infrastructure development Ltd</t>
  </si>
  <si>
    <t>007-17-000048</t>
  </si>
  <si>
    <t>Solid Waste Management works in W N 7</t>
  </si>
  <si>
    <t>P3110</t>
  </si>
  <si>
    <t>14th Finance Commission Grant Works</t>
  </si>
  <si>
    <t>007-17-000102</t>
  </si>
  <si>
    <t>Construction of Sheltar and  Power Conection For Shredder in  Behind Gudanjaneya Temple</t>
  </si>
  <si>
    <t>Sri.Narsimhappa</t>
  </si>
  <si>
    <t>007-17-000018</t>
  </si>
  <si>
    <t>IMPROVEMENTS OF DRAINS AND ROADS IN D PILLAPPA LAYOUT AMRUTHALLI AND SURROUNDINGS BYATARAYANAPURA IN WARD NO 7 BYATARAYANAPURA</t>
  </si>
  <si>
    <t>Narsimharaju K</t>
  </si>
  <si>
    <t>007-18-000043</t>
  </si>
  <si>
    <t>Improvements to roads of Jayaramappa layout in ward no 07 Byatarayanapura</t>
  </si>
  <si>
    <t>Executive Engineer</t>
  </si>
  <si>
    <t>P3333</t>
  </si>
  <si>
    <t>Special Development works at Ward No.07,08,21,33,58,66,68,75,76,91,94,95,110,116,153,180,190,198,88,18 ( 20 wards Rs.5.00 Cr. Each)</t>
  </si>
  <si>
    <t>D. Narahari, Benaka Developers and Project Pvt, Ltd.,</t>
  </si>
  <si>
    <t>007-16-000030</t>
  </si>
  <si>
    <t>Development and improvements to roads and drains in main road and cross roads of ward No 7Bytarayanpura.</t>
  </si>
  <si>
    <t>007-16-000009</t>
  </si>
  <si>
    <t>Improvements to Roads in Kashinagara to Hottapa Layout in ward no 7 Kodigehalli Sub Division</t>
  </si>
  <si>
    <t>007-18-000092</t>
  </si>
  <si>
    <t>Improvements to Crematoriums in ward no 07</t>
  </si>
  <si>
    <t>P3291</t>
  </si>
  <si>
    <t>14th Fin  -Maintenance of Cremotorium, Burial Grounds</t>
  </si>
  <si>
    <t>007-18-000094</t>
  </si>
  <si>
    <t>Providing Solid waste Management works in ward no 07</t>
  </si>
  <si>
    <t>P3298</t>
  </si>
  <si>
    <t>14th Finance Commission Works - SWM Works</t>
  </si>
  <si>
    <t>007-15-000048</t>
  </si>
  <si>
    <t>Estimate for the Improvements of Roads and Drains in Amruthahalli A Manjunath House Roads in SC Colony Amruthahalli in ward No 7 Byatarayanapura Kodigehalli Sub Division</t>
  </si>
  <si>
    <t>A Manjunath</t>
  </si>
  <si>
    <t>007-18-000005</t>
  </si>
  <si>
    <t>ESTABLISHMENT OF RO PLANT CHILDREN PLAY EQUIPMENTS OPEN GYM EQUIPMENTS IN JAKKUR LAYOUT IN WARD NO 7 BYATARAYANAPURA</t>
  </si>
  <si>
    <t>P2652</t>
  </si>
  <si>
    <t>Contribution to Community Benefits</t>
  </si>
  <si>
    <t>007-18-000006</t>
  </si>
  <si>
    <t>IMPROVEMENTS TO DRAINS OF 7TH TO 10TH CROSS ROADS OF JAKKUR LAYOUT IN WARD NO 7 BYATARAYANAPURA</t>
  </si>
  <si>
    <t>007-17-000017</t>
  </si>
  <si>
    <t>PROVIDING LAYING AND REPAIRS OF NAME BOARDS IN VEERANNAPALYA KARIYANNA LAYOUT MARIYANNAPALYA KEMPAPURA AND SURROUNDING AREAS OF WARD NO 7 BYATARAYANAPURA</t>
  </si>
  <si>
    <t>N N Sreenivasiah</t>
  </si>
  <si>
    <t>007-18-000089</t>
  </si>
  <si>
    <t>Installation of CCTV camera in Garbage black spots in ward no 07 Byatarayanapura</t>
  </si>
  <si>
    <t>007-18-000084</t>
  </si>
  <si>
    <t>Construction of RCC Drain at Chinnappa Layout in ward no 07 Byatarayanapura</t>
  </si>
  <si>
    <t>P3296</t>
  </si>
  <si>
    <t>14th Finance Commission Works - Road and Footpath Maintenance</t>
  </si>
  <si>
    <t>007-18-000009</t>
  </si>
  <si>
    <t>PACKAGE 3 INCLUDES 4 WORKS OF RS. 249.00 LAKHS 1.Improvements to CA sites providing Chain link fencing in Coffee board layout and surrounding areas in ward No.07, Byatarayanapura 2. Improvements to CA sites providing Chain link fencing in Jakkur, Jakkur Layout and surrounding areas in ward No.07, Byatarayanapura. 3 Improvements to roads and footpaths Vinayaka Layout 1st stage, Vinayaka Layout 2nd stage and Amruthanagara in ward No.07, Byatarayanapura. 4. Construction and improvements of toilets in Sahakaranagar, Byatarayanapura surrounding areas in ward No. 07, Byatarayanapura.</t>
  </si>
  <si>
    <t>B B Umesh</t>
  </si>
  <si>
    <t>007-18-000090</t>
  </si>
  <si>
    <t>Providing RO plants in ward no 07 Byatarayanapura</t>
  </si>
  <si>
    <t>P3293</t>
  </si>
  <si>
    <t>14th Finance Commission Works - Drinking Water</t>
  </si>
  <si>
    <t>007-18-000065</t>
  </si>
  <si>
    <t>Providing Energy efficient LED Street l;ights and control switches and connected accessories in ward no 07 Byatarayanapura</t>
  </si>
  <si>
    <t>M/s KRIDL</t>
  </si>
  <si>
    <t>007-18-000066</t>
  </si>
  <si>
    <t>Providing Special repairs to Coffee board L-O Park pathway lighting in ward no 07 Byatarayanapura</t>
  </si>
  <si>
    <t>Technical manager</t>
  </si>
  <si>
    <t>007-17-000036</t>
  </si>
  <si>
    <t>Upgradation and Improvement to Hebbala Kempapura electrical Crematorium furnance No-1 in ward no 07</t>
  </si>
  <si>
    <t>Tecnical Manegar KRIDL</t>
  </si>
  <si>
    <t>007-17-000013</t>
  </si>
  <si>
    <t>CONSTRUCTION OF DRAINS AND ROADS IN MAIN ROADS OF NETHAJINAGARA IN WARD NO 7 BYATARAYANAPURA</t>
  </si>
  <si>
    <t>N Venkata Reddy</t>
  </si>
  <si>
    <t>007-17-000012</t>
  </si>
  <si>
    <t>CONSTRUCTION OF DRAINS AND ROADS IN CROSS ROADS OF NETHAJINAGARA IN WARD NO 7 BYATARAYANAPURA</t>
  </si>
  <si>
    <t>007-17-000019</t>
  </si>
  <si>
    <t>IMPROVEMENTS OF DRAINS AND ROADS NEAR A S HANUMAYYA HOUSE AND SURROUNDINGS BYATARAYANAPURA IN WARD NO 7 BYATARAYANAPURA</t>
  </si>
  <si>
    <t>007-17-000014</t>
  </si>
  <si>
    <t>CONSTRUCTION OF NEW CULVERTS IN COFFEE BOARD LAYOUT PAMPA EXTENSION KEMPAPURA AND SURROUNDING AREAS IN WARD NO 7 BYATARAYANAPURA</t>
  </si>
  <si>
    <t>July</t>
  </si>
  <si>
    <t>007-16-000034</t>
  </si>
  <si>
    <t>Emergency Repairs to the Furnace Exaust Blower and its accessories of Electrical Crematorium at Hebbala Kempaura in ward No 07</t>
  </si>
  <si>
    <t>Shree Shanmukha Engineers</t>
  </si>
  <si>
    <t>P0287</t>
  </si>
  <si>
    <t>M and R to Electrical Crematoria</t>
  </si>
  <si>
    <t>007-14-000043</t>
  </si>
  <si>
    <t>Providing shredder in ward No 7 Byatarayanpura Sub Division</t>
  </si>
  <si>
    <t>H Mahadev Goud Aruna Green Ventures Pvt LTD</t>
  </si>
  <si>
    <t>007-16-000003</t>
  </si>
  <si>
    <t>Improvements to Roads and Drains Near Sridhar House area Amruthahalli in ward no 7 Kodigehalli Sub Division</t>
  </si>
  <si>
    <t>Ninaganagowda V Patil</t>
  </si>
  <si>
    <t>August</t>
  </si>
  <si>
    <t>007-18-000048</t>
  </si>
  <si>
    <t>Package 4, includes 4 works of Rs.195.00 Lakhs 1. Improvements to roads and drains near Hebbal shanimahatma temple in hebbal in ward No.07 Byatrayanapura 2. Improvements to roads and drains Amruthalli gramatana (pending works) and surrounding areas in ward no.07 Byatarayanapura 3. Improvements to roads and drains in Sanjeeviningara, Byatarayanapura and kempapura in ward no.07 Byatarayanapura 4. Improvements to Drain Hoysala Appartment towards Byataryanapura Village in ward no:07 Byataryanapura.</t>
  </si>
  <si>
    <t>Abhijit A</t>
  </si>
  <si>
    <t>P3111</t>
  </si>
  <si>
    <t>State Finance Commission Untied Grant Works</t>
  </si>
  <si>
    <t>007-18-000039</t>
  </si>
  <si>
    <t>Improvements to roads and drains of Khasinagara main road Bbalance work) in ward no 07 Byatarayanapura</t>
  </si>
  <si>
    <t>September</t>
  </si>
  <si>
    <t>007-18-000067</t>
  </si>
  <si>
    <t>Providing UGD works ward no 7</t>
  </si>
  <si>
    <t>P3295</t>
  </si>
  <si>
    <t>14th Finance Commission Works - UGD Works</t>
  </si>
  <si>
    <t>007-18-000091</t>
  </si>
  <si>
    <t>Improvements of drains at Amurthahalli main road from reliance fresh to Amruthahalli circle in ward no 07</t>
  </si>
  <si>
    <t>007-18-000093</t>
  </si>
  <si>
    <t>Development of secondary and territiary drains in ward no 07</t>
  </si>
  <si>
    <t>P3297</t>
  </si>
  <si>
    <t>14th Finance Commission Grants - SWD Works</t>
  </si>
  <si>
    <t>G N Ramesh</t>
  </si>
  <si>
    <t>October</t>
  </si>
  <si>
    <t>007-15-000059</t>
  </si>
  <si>
    <t xml:space="preserve">Construction of Swimming pool at Amruthanagara, Byatrayanapura Ward No.7. </t>
  </si>
  <si>
    <t>Sri.K.Somappa</t>
  </si>
  <si>
    <t>P1732</t>
  </si>
  <si>
    <t>Road network arterial roads (Project Division and Major Road Division)</t>
  </si>
  <si>
    <t>007-18-000012</t>
  </si>
  <si>
    <t>Desilting and repairs to side walls of storm water drain from Byatarayanapura Ayyappa temple road to Bata showroom (near NH-7 Bellary road) from L and T Compound to Venkatesh Reddy house at Byatarayanapura, from Kriyanna House to Mandi Appaiah Farm House and from Gullappa Nursery (NH-7) to Amurthahalli Lake in ward No.07, Byatarayanapura.</t>
  </si>
  <si>
    <t>M/S Nischal Constructions Sri Naveen Rao N</t>
  </si>
  <si>
    <t>007-18-000010</t>
  </si>
  <si>
    <t>Package 1, Includes 2 Works of Rs 248.00 Lakhs 1.Providing basic amenities and procurement of dustbins in Kempapura, Amruthahalli, Jakkur, Jakkur Layout, Amruthanagara in ward No. 07, Byatarayanapura. 2. Providing basic amenities and procurement of dustbins in Sahakarnagara, Byatarayanapura,Sanjeevininagar in ward no:07, Byatarayanapura</t>
  </si>
  <si>
    <t>007-18-000086</t>
  </si>
  <si>
    <t>Providing Pipe line in ward no 07 Byatarayanapura</t>
  </si>
  <si>
    <t>007-18-000083</t>
  </si>
  <si>
    <t>Desilting and repairs to side walls of Tertiary drains Amruthahalli in ward no 07 Byatarayanapura</t>
  </si>
  <si>
    <t>007-18-000001</t>
  </si>
  <si>
    <t>Improvements and repairs of existing crematorium building at Hebbal in Yelahanka Zone</t>
  </si>
  <si>
    <t>Sri.Madhusudhan R</t>
  </si>
  <si>
    <t>P0541</t>
  </si>
  <si>
    <t>Emergency Reserve Fund</t>
  </si>
  <si>
    <t>November</t>
  </si>
  <si>
    <t>007-19-000025</t>
  </si>
  <si>
    <t>Providing UGD line in ward No 07 Byatarayanapura</t>
  </si>
  <si>
    <t>B Girish</t>
  </si>
  <si>
    <t>007-19-000038</t>
  </si>
  <si>
    <t>Construction of drains from Chikkasidappa Layout to SWD in Amruthahalli in ward no 07 Byatarayanapura</t>
  </si>
  <si>
    <t>007-19-000029</t>
  </si>
  <si>
    <t>Construction of Drain from Gangamma Temple Road to Chikkasiddappa Layout Amruthahalli in ward no 07 Byatarayanapura</t>
  </si>
  <si>
    <t>Sri. N. Venkata reddy</t>
  </si>
  <si>
    <t>P3409</t>
  </si>
  <si>
    <t>SFC Untied SC-SP/TSP Grant works</t>
  </si>
  <si>
    <t>December</t>
  </si>
  <si>
    <t>007-19-000022</t>
  </si>
  <si>
    <t>Drilling of borewells and providing water pipe line in ward No 07 Byatarayanapura</t>
  </si>
  <si>
    <t>Puttaraju A</t>
  </si>
  <si>
    <t>007-19-000001</t>
  </si>
  <si>
    <t>Construction of Drain from Varma Land to SWD in Amruthahalli in ward no 07 Byatarayanapura</t>
  </si>
  <si>
    <t>Sri. H.N. Shivashankar</t>
  </si>
  <si>
    <t>007-17-000050</t>
  </si>
  <si>
    <t>CONSTRUCTION OF BANGALORE ONE CENTER BUILDING IN COFFEBOARD LAYOUT WARD NO 7 BYATARAYANAPURA</t>
  </si>
  <si>
    <t>K Shankar Reddy</t>
  </si>
  <si>
    <t>007-18-000042</t>
  </si>
  <si>
    <t>Improvements to roads of Navyanagara in ward no 07 Byatarayanapura</t>
  </si>
  <si>
    <t>007-19-000106</t>
  </si>
  <si>
    <t>Consultancy Services for Preparation of DPR (which includes Survey,Designs,Drawing, Estimate etc.,) and for Project Management Consultancy (Consultancy Services for Construction Supervision ,Project Management &amp; Quality Assurance for the works) For Improvements to roads and drains at Amruthahalli main road, Kariyanna layout and surrounding areas in ward no 07.Est cost 100.00 Lakhs.</t>
  </si>
  <si>
    <t>Sri.C VEERAMMA TRANSHEIGHT CONSULTANTS PRIVATE LIMITED</t>
  </si>
  <si>
    <t>BB UMesh</t>
  </si>
  <si>
    <t>ddo476</t>
  </si>
  <si>
    <t xml:space="preserve"> Assistant Executive Engineer Vidyaranyapura Yelhanka Zone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</si>
</sst>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6"/>
  <sheetViews>
    <sheetView tabSelected="1" workbookViewId="0">
      <selection activeCell="A2" sqref="A2:XFD66"/>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261</v>
      </c>
      <c r="B2" s="6" t="s">
        <v>28</v>
      </c>
      <c r="C2" s="7">
        <v>43566</v>
      </c>
      <c r="D2" s="8">
        <v>7</v>
      </c>
      <c r="E2" s="9" t="s">
        <v>54</v>
      </c>
      <c r="F2" s="8" t="s">
        <v>55</v>
      </c>
      <c r="G2" s="9" t="s">
        <v>56</v>
      </c>
      <c r="H2" s="8" t="str">
        <f>"000001"</f>
        <v>000001</v>
      </c>
      <c r="I2" s="7">
        <v>43274</v>
      </c>
      <c r="J2" s="8" t="str">
        <f>"000026"</f>
        <v>000026</v>
      </c>
      <c r="K2" s="7">
        <v>43319</v>
      </c>
      <c r="L2" s="8" t="str">
        <f>"000074"</f>
        <v>000074</v>
      </c>
      <c r="M2" s="7">
        <v>43321</v>
      </c>
      <c r="N2" s="8">
        <v>18</v>
      </c>
      <c r="O2" s="8" t="str">
        <f>"010161"</f>
        <v>010161</v>
      </c>
      <c r="P2" s="7">
        <v>43553</v>
      </c>
      <c r="Q2" s="10">
        <v>22.112169999999999</v>
      </c>
      <c r="R2" s="10">
        <v>0.55423</v>
      </c>
      <c r="S2" s="10">
        <v>21.557939999999999</v>
      </c>
      <c r="T2" s="8">
        <v>15</v>
      </c>
      <c r="U2" s="7">
        <v>43566</v>
      </c>
      <c r="V2" s="8">
        <v>9900088235</v>
      </c>
      <c r="W2" s="9" t="s">
        <v>57</v>
      </c>
      <c r="X2" s="8" t="s">
        <v>44</v>
      </c>
      <c r="Y2" s="9" t="s">
        <v>43</v>
      </c>
      <c r="Z2" s="8" t="s">
        <v>58</v>
      </c>
      <c r="AA2" s="9" t="s">
        <v>59</v>
      </c>
      <c r="AB2" s="10">
        <f t="shared" ref="AB2:AB34" si="0">Q2/100</f>
        <v>0.22112169999999998</v>
      </c>
    </row>
    <row r="3" spans="1:28" s="4" customFormat="1" ht="13" x14ac:dyDescent="0.3">
      <c r="A3" s="5">
        <v>262</v>
      </c>
      <c r="B3" s="6" t="s">
        <v>28</v>
      </c>
      <c r="C3" s="7">
        <v>43566</v>
      </c>
      <c r="D3" s="8">
        <v>7</v>
      </c>
      <c r="E3" s="9" t="s">
        <v>54</v>
      </c>
      <c r="F3" s="8" t="s">
        <v>60</v>
      </c>
      <c r="G3" s="9" t="s">
        <v>61</v>
      </c>
      <c r="H3" s="8" t="str">
        <f>"000002"</f>
        <v>000002</v>
      </c>
      <c r="I3" s="7">
        <v>43274</v>
      </c>
      <c r="J3" s="8" t="str">
        <f>"000025"</f>
        <v>000025</v>
      </c>
      <c r="K3" s="7">
        <v>43319</v>
      </c>
      <c r="L3" s="8" t="str">
        <f>"000073"</f>
        <v>000073</v>
      </c>
      <c r="M3" s="7">
        <v>43321</v>
      </c>
      <c r="N3" s="8">
        <v>18</v>
      </c>
      <c r="O3" s="8" t="str">
        <f>"010162"</f>
        <v>010162</v>
      </c>
      <c r="P3" s="7">
        <v>43553</v>
      </c>
      <c r="Q3" s="10">
        <v>20.431470000000001</v>
      </c>
      <c r="R3" s="10">
        <v>0.87853999999999999</v>
      </c>
      <c r="S3" s="10">
        <v>19.55293</v>
      </c>
      <c r="T3" s="8">
        <v>15</v>
      </c>
      <c r="U3" s="7">
        <v>43566</v>
      </c>
      <c r="V3" s="8">
        <v>9900088235</v>
      </c>
      <c r="W3" s="9" t="s">
        <v>57</v>
      </c>
      <c r="X3" s="8" t="s">
        <v>44</v>
      </c>
      <c r="Y3" s="9" t="s">
        <v>43</v>
      </c>
      <c r="Z3" s="8" t="s">
        <v>58</v>
      </c>
      <c r="AA3" s="9" t="s">
        <v>59</v>
      </c>
      <c r="AB3" s="10">
        <f t="shared" si="0"/>
        <v>0.20431470000000002</v>
      </c>
    </row>
    <row r="4" spans="1:28" s="4" customFormat="1" ht="13" x14ac:dyDescent="0.3">
      <c r="A4" s="5">
        <v>263</v>
      </c>
      <c r="B4" s="6" t="s">
        <v>28</v>
      </c>
      <c r="C4" s="7">
        <v>43566</v>
      </c>
      <c r="D4" s="8">
        <v>7</v>
      </c>
      <c r="E4" s="9" t="s">
        <v>54</v>
      </c>
      <c r="F4" s="8" t="s">
        <v>62</v>
      </c>
      <c r="G4" s="9" t="s">
        <v>63</v>
      </c>
      <c r="H4" s="8" t="str">
        <f>"000004"</f>
        <v>000004</v>
      </c>
      <c r="I4" s="7">
        <v>43274</v>
      </c>
      <c r="J4" s="8" t="str">
        <f>"000023"</f>
        <v>000023</v>
      </c>
      <c r="K4" s="7">
        <v>43319</v>
      </c>
      <c r="L4" s="8" t="str">
        <f>"000070"</f>
        <v>000070</v>
      </c>
      <c r="M4" s="7">
        <v>43321</v>
      </c>
      <c r="N4" s="8">
        <v>18</v>
      </c>
      <c r="O4" s="8" t="str">
        <f>"010163"</f>
        <v>010163</v>
      </c>
      <c r="P4" s="7">
        <v>43553</v>
      </c>
      <c r="Q4" s="10">
        <v>20.898489999999999</v>
      </c>
      <c r="R4" s="10">
        <v>0.94099999999999995</v>
      </c>
      <c r="S4" s="10">
        <v>19.95749</v>
      </c>
      <c r="T4" s="8">
        <v>15</v>
      </c>
      <c r="U4" s="7">
        <v>43566</v>
      </c>
      <c r="V4" s="8">
        <v>9901043696</v>
      </c>
      <c r="W4" s="9" t="s">
        <v>64</v>
      </c>
      <c r="X4" s="8" t="s">
        <v>44</v>
      </c>
      <c r="Y4" s="9" t="s">
        <v>43</v>
      </c>
      <c r="Z4" s="8" t="s">
        <v>58</v>
      </c>
      <c r="AA4" s="9" t="s">
        <v>59</v>
      </c>
      <c r="AB4" s="10">
        <f t="shared" si="0"/>
        <v>0.2089849</v>
      </c>
    </row>
    <row r="5" spans="1:28" s="4" customFormat="1" ht="13" x14ac:dyDescent="0.3">
      <c r="A5" s="5">
        <v>264</v>
      </c>
      <c r="B5" s="6" t="s">
        <v>28</v>
      </c>
      <c r="C5" s="7">
        <v>43566</v>
      </c>
      <c r="D5" s="8">
        <v>7</v>
      </c>
      <c r="E5" s="9" t="s">
        <v>54</v>
      </c>
      <c r="F5" s="8" t="s">
        <v>65</v>
      </c>
      <c r="G5" s="9" t="s">
        <v>66</v>
      </c>
      <c r="H5" s="8" t="str">
        <f>"000003"</f>
        <v>000003</v>
      </c>
      <c r="I5" s="7">
        <v>43274</v>
      </c>
      <c r="J5" s="8" t="str">
        <f>"000024"</f>
        <v>000024</v>
      </c>
      <c r="K5" s="7">
        <v>43319</v>
      </c>
      <c r="L5" s="8" t="str">
        <f>"000072"</f>
        <v>000072</v>
      </c>
      <c r="M5" s="7">
        <v>43321</v>
      </c>
      <c r="N5" s="8">
        <v>18</v>
      </c>
      <c r="O5" s="8" t="str">
        <f>"010164"</f>
        <v>010164</v>
      </c>
      <c r="P5" s="7">
        <v>43553</v>
      </c>
      <c r="Q5" s="10">
        <v>22.020569999999999</v>
      </c>
      <c r="R5" s="10">
        <v>0.55047000000000001</v>
      </c>
      <c r="S5" s="10">
        <v>21.470099999999999</v>
      </c>
      <c r="T5" s="8">
        <v>15</v>
      </c>
      <c r="U5" s="7">
        <v>43566</v>
      </c>
      <c r="V5" s="8">
        <v>9901043696</v>
      </c>
      <c r="W5" s="9" t="s">
        <v>64</v>
      </c>
      <c r="X5" s="8" t="s">
        <v>44</v>
      </c>
      <c r="Y5" s="9" t="s">
        <v>43</v>
      </c>
      <c r="Z5" s="8" t="s">
        <v>58</v>
      </c>
      <c r="AA5" s="9" t="s">
        <v>59</v>
      </c>
      <c r="AB5" s="10">
        <f t="shared" si="0"/>
        <v>0.2202057</v>
      </c>
    </row>
    <row r="6" spans="1:28" s="4" customFormat="1" ht="13" x14ac:dyDescent="0.3">
      <c r="A6" s="5">
        <v>265</v>
      </c>
      <c r="B6" s="6" t="s">
        <v>28</v>
      </c>
      <c r="C6" s="7">
        <v>43567</v>
      </c>
      <c r="D6" s="8">
        <v>7</v>
      </c>
      <c r="E6" s="9" t="s">
        <v>54</v>
      </c>
      <c r="F6" s="8" t="s">
        <v>67</v>
      </c>
      <c r="G6" s="9" t="s">
        <v>68</v>
      </c>
      <c r="H6" s="8" t="str">
        <f>"000026"</f>
        <v>000026</v>
      </c>
      <c r="I6" s="7">
        <v>42716</v>
      </c>
      <c r="J6" s="8" t="str">
        <f>"000039"</f>
        <v>000039</v>
      </c>
      <c r="K6" s="7">
        <v>43124</v>
      </c>
      <c r="L6" s="8" t="str">
        <f>"000039"</f>
        <v>000039</v>
      </c>
      <c r="M6" s="7">
        <v>43124</v>
      </c>
      <c r="N6" s="8">
        <v>16</v>
      </c>
      <c r="O6" s="8" t="str">
        <f>"003945"</f>
        <v>003945</v>
      </c>
      <c r="P6" s="7">
        <v>43299</v>
      </c>
      <c r="Q6" s="10">
        <v>10.77956</v>
      </c>
      <c r="R6" s="10">
        <v>1.07595</v>
      </c>
      <c r="S6" s="10">
        <v>9.7036099999999994</v>
      </c>
      <c r="T6" s="8">
        <v>17</v>
      </c>
      <c r="U6" s="7">
        <v>43567</v>
      </c>
      <c r="V6" s="8">
        <v>9620096296</v>
      </c>
      <c r="W6" s="9" t="s">
        <v>45</v>
      </c>
      <c r="X6" s="8" t="s">
        <v>29</v>
      </c>
      <c r="Y6" s="9" t="s">
        <v>30</v>
      </c>
      <c r="Z6" s="8" t="s">
        <v>31</v>
      </c>
      <c r="AA6" s="9" t="s">
        <v>32</v>
      </c>
      <c r="AB6" s="10">
        <f t="shared" si="0"/>
        <v>0.10779560000000001</v>
      </c>
    </row>
    <row r="7" spans="1:28" s="4" customFormat="1" ht="13" x14ac:dyDescent="0.3">
      <c r="A7" s="5">
        <v>266</v>
      </c>
      <c r="B7" s="6" t="s">
        <v>28</v>
      </c>
      <c r="C7" s="7">
        <v>43571</v>
      </c>
      <c r="D7" s="8">
        <v>7</v>
      </c>
      <c r="E7" s="9" t="s">
        <v>54</v>
      </c>
      <c r="F7" s="8" t="s">
        <v>69</v>
      </c>
      <c r="G7" s="9" t="s">
        <v>70</v>
      </c>
      <c r="H7" s="8" t="str">
        <f>"000262"</f>
        <v>000262</v>
      </c>
      <c r="I7" s="7">
        <v>42825</v>
      </c>
      <c r="J7" s="8" t="str">
        <f>"000065"</f>
        <v>000065</v>
      </c>
      <c r="K7" s="7">
        <v>43490</v>
      </c>
      <c r="L7" s="8" t="str">
        <f>"000200"</f>
        <v>000200</v>
      </c>
      <c r="M7" s="7">
        <v>43495</v>
      </c>
      <c r="N7" s="8">
        <v>16</v>
      </c>
      <c r="O7" s="8" t="str">
        <f>"000549"</f>
        <v>000549</v>
      </c>
      <c r="P7" s="7">
        <v>43569</v>
      </c>
      <c r="Q7" s="10">
        <v>2.5624199999999999</v>
      </c>
      <c r="R7" s="10">
        <v>0.25624000000000002</v>
      </c>
      <c r="S7" s="10">
        <v>2.3061799999999999</v>
      </c>
      <c r="T7" s="8">
        <v>18</v>
      </c>
      <c r="U7" s="7">
        <v>43571</v>
      </c>
      <c r="V7" s="8">
        <v>9448352709</v>
      </c>
      <c r="W7" s="9" t="s">
        <v>71</v>
      </c>
      <c r="X7" s="8" t="s">
        <v>46</v>
      </c>
      <c r="Y7" s="9" t="s">
        <v>47</v>
      </c>
      <c r="Z7" s="8" t="s">
        <v>58</v>
      </c>
      <c r="AA7" s="9" t="s">
        <v>59</v>
      </c>
      <c r="AB7" s="10">
        <f t="shared" si="0"/>
        <v>2.56242E-2</v>
      </c>
    </row>
    <row r="8" spans="1:28" s="4" customFormat="1" ht="13" x14ac:dyDescent="0.3">
      <c r="A8" s="5">
        <v>267</v>
      </c>
      <c r="B8" s="6" t="s">
        <v>28</v>
      </c>
      <c r="C8" s="7">
        <v>43575</v>
      </c>
      <c r="D8" s="8">
        <v>7</v>
      </c>
      <c r="E8" s="9" t="s">
        <v>54</v>
      </c>
      <c r="F8" s="8" t="s">
        <v>67</v>
      </c>
      <c r="G8" s="9" t="s">
        <v>68</v>
      </c>
      <c r="H8" s="8" t="str">
        <f>"000026"</f>
        <v>000026</v>
      </c>
      <c r="I8" s="7">
        <v>42716</v>
      </c>
      <c r="J8" s="8" t="str">
        <f>"000039"</f>
        <v>000039</v>
      </c>
      <c r="K8" s="7">
        <v>43124</v>
      </c>
      <c r="L8" s="8" t="str">
        <f>"000039"</f>
        <v>000039</v>
      </c>
      <c r="M8" s="7">
        <v>43124</v>
      </c>
      <c r="N8" s="8">
        <v>16</v>
      </c>
      <c r="O8" s="8" t="str">
        <f>"003945"</f>
        <v>003945</v>
      </c>
      <c r="P8" s="7">
        <v>43299</v>
      </c>
      <c r="Q8" s="10">
        <v>6.1597499999999998</v>
      </c>
      <c r="R8" s="10">
        <v>0.73555000000000004</v>
      </c>
      <c r="S8" s="10">
        <v>5.4241999999999999</v>
      </c>
      <c r="T8" s="8">
        <v>20</v>
      </c>
      <c r="U8" s="7">
        <v>43575</v>
      </c>
      <c r="V8" s="8">
        <v>9620096296</v>
      </c>
      <c r="W8" s="9" t="s">
        <v>45</v>
      </c>
      <c r="X8" s="8" t="s">
        <v>29</v>
      </c>
      <c r="Y8" s="9" t="s">
        <v>30</v>
      </c>
      <c r="Z8" s="8" t="s">
        <v>31</v>
      </c>
      <c r="AA8" s="9" t="s">
        <v>32</v>
      </c>
      <c r="AB8" s="10">
        <f t="shared" si="0"/>
        <v>6.1597499999999999E-2</v>
      </c>
    </row>
    <row r="9" spans="1:28" s="4" customFormat="1" ht="13" x14ac:dyDescent="0.3">
      <c r="A9" s="5">
        <v>268</v>
      </c>
      <c r="B9" s="6" t="s">
        <v>28</v>
      </c>
      <c r="C9" s="7">
        <v>43579</v>
      </c>
      <c r="D9" s="8">
        <v>7</v>
      </c>
      <c r="E9" s="9" t="s">
        <v>54</v>
      </c>
      <c r="F9" s="8" t="s">
        <v>72</v>
      </c>
      <c r="G9" s="9" t="s">
        <v>73</v>
      </c>
      <c r="H9" s="8" t="str">
        <f>"000259"</f>
        <v>000259</v>
      </c>
      <c r="I9" s="7">
        <v>42825</v>
      </c>
      <c r="J9" s="8" t="str">
        <f>"000038"</f>
        <v>000038</v>
      </c>
      <c r="K9" s="7">
        <v>43150</v>
      </c>
      <c r="L9" s="8" t="str">
        <f>"000114"</f>
        <v>000114</v>
      </c>
      <c r="M9" s="7">
        <v>43152</v>
      </c>
      <c r="N9" s="8">
        <v>16</v>
      </c>
      <c r="O9" s="8" t="str">
        <f>"000002"</f>
        <v>000002</v>
      </c>
      <c r="P9" s="7">
        <v>43191</v>
      </c>
      <c r="Q9" s="10">
        <v>1.68</v>
      </c>
      <c r="R9" s="10">
        <v>0.16800000000000001</v>
      </c>
      <c r="S9" s="10">
        <v>1.512</v>
      </c>
      <c r="T9" s="8">
        <v>26</v>
      </c>
      <c r="U9" s="7">
        <v>43579</v>
      </c>
      <c r="V9" s="8">
        <v>9845623656</v>
      </c>
      <c r="W9" s="9" t="s">
        <v>74</v>
      </c>
      <c r="X9" s="8" t="s">
        <v>46</v>
      </c>
      <c r="Y9" s="9" t="s">
        <v>47</v>
      </c>
      <c r="Z9" s="8" t="s">
        <v>58</v>
      </c>
      <c r="AA9" s="9" t="s">
        <v>59</v>
      </c>
      <c r="AB9" s="10">
        <f t="shared" si="0"/>
        <v>1.6799999999999999E-2</v>
      </c>
    </row>
    <row r="10" spans="1:28" s="4" customFormat="1" ht="13" x14ac:dyDescent="0.3">
      <c r="A10" s="5">
        <v>269</v>
      </c>
      <c r="B10" s="6" t="s">
        <v>28</v>
      </c>
      <c r="C10" s="7">
        <v>43579</v>
      </c>
      <c r="D10" s="8">
        <v>7</v>
      </c>
      <c r="E10" s="9" t="s">
        <v>54</v>
      </c>
      <c r="F10" s="8" t="s">
        <v>75</v>
      </c>
      <c r="G10" s="9" t="s">
        <v>76</v>
      </c>
      <c r="H10" s="8" t="str">
        <f>"000114"</f>
        <v>000114</v>
      </c>
      <c r="I10" s="7">
        <v>43179</v>
      </c>
      <c r="J10" s="8" t="str">
        <f>"000064"</f>
        <v>000064</v>
      </c>
      <c r="K10" s="7">
        <v>43488</v>
      </c>
      <c r="L10" s="8" t="str">
        <f>"000193"</f>
        <v>000193</v>
      </c>
      <c r="M10" s="7">
        <v>43488</v>
      </c>
      <c r="N10" s="8">
        <v>18</v>
      </c>
      <c r="O10" s="8" t="str">
        <f>"009107"</f>
        <v>009107</v>
      </c>
      <c r="P10" s="7">
        <v>43502</v>
      </c>
      <c r="Q10" s="10">
        <v>140.32319000000001</v>
      </c>
      <c r="R10" s="10">
        <v>9.01783</v>
      </c>
      <c r="S10" s="10">
        <v>131.30536000000001</v>
      </c>
      <c r="T10" s="8">
        <v>26</v>
      </c>
      <c r="U10" s="7">
        <v>43579</v>
      </c>
      <c r="V10" s="8">
        <v>9945655299</v>
      </c>
      <c r="W10" s="9" t="s">
        <v>51</v>
      </c>
      <c r="X10" s="8" t="s">
        <v>33</v>
      </c>
      <c r="Y10" s="9" t="s">
        <v>34</v>
      </c>
      <c r="Z10" s="8" t="s">
        <v>58</v>
      </c>
      <c r="AA10" s="9" t="s">
        <v>59</v>
      </c>
      <c r="AB10" s="10">
        <f t="shared" si="0"/>
        <v>1.4032319000000002</v>
      </c>
    </row>
    <row r="11" spans="1:28" s="4" customFormat="1" ht="13" x14ac:dyDescent="0.3">
      <c r="A11" s="5">
        <v>270</v>
      </c>
      <c r="B11" s="6" t="s">
        <v>28</v>
      </c>
      <c r="C11" s="7">
        <v>43580</v>
      </c>
      <c r="D11" s="8">
        <v>7</v>
      </c>
      <c r="E11" s="9" t="s">
        <v>54</v>
      </c>
      <c r="F11" s="8" t="s">
        <v>77</v>
      </c>
      <c r="G11" s="9" t="s">
        <v>78</v>
      </c>
      <c r="H11" s="8" t="str">
        <f>"000249"</f>
        <v>000249</v>
      </c>
      <c r="I11" s="7">
        <v>42426</v>
      </c>
      <c r="J11" s="8" t="str">
        <f>"000058"</f>
        <v>000058</v>
      </c>
      <c r="K11" s="7">
        <v>42916</v>
      </c>
      <c r="L11" s="8" t="str">
        <f>"000198"</f>
        <v>000198</v>
      </c>
      <c r="M11" s="7">
        <v>42916</v>
      </c>
      <c r="N11" s="8">
        <v>16</v>
      </c>
      <c r="O11" s="8" t="str">
        <f>"000731"</f>
        <v>000731</v>
      </c>
      <c r="P11" s="7">
        <v>43578</v>
      </c>
      <c r="Q11" s="10">
        <v>14.74226</v>
      </c>
      <c r="R11" s="10">
        <v>1.13771</v>
      </c>
      <c r="S11" s="10">
        <v>13.60455</v>
      </c>
      <c r="T11" s="8">
        <v>28</v>
      </c>
      <c r="U11" s="7">
        <v>43580</v>
      </c>
      <c r="V11" s="8">
        <v>9448386587</v>
      </c>
      <c r="W11" s="9" t="s">
        <v>79</v>
      </c>
      <c r="X11" s="8" t="s">
        <v>41</v>
      </c>
      <c r="Y11" s="9" t="s">
        <v>42</v>
      </c>
      <c r="Z11" s="8" t="s">
        <v>58</v>
      </c>
      <c r="AA11" s="9" t="s">
        <v>59</v>
      </c>
      <c r="AB11" s="10">
        <f t="shared" si="0"/>
        <v>0.14742259999999999</v>
      </c>
    </row>
    <row r="12" spans="1:28" s="4" customFormat="1" ht="13" x14ac:dyDescent="0.3">
      <c r="A12" s="5">
        <v>271</v>
      </c>
      <c r="B12" s="6" t="s">
        <v>28</v>
      </c>
      <c r="C12" s="7">
        <v>43580</v>
      </c>
      <c r="D12" s="8">
        <v>7</v>
      </c>
      <c r="E12" s="9" t="s">
        <v>54</v>
      </c>
      <c r="F12" s="8" t="s">
        <v>67</v>
      </c>
      <c r="G12" s="9" t="s">
        <v>68</v>
      </c>
      <c r="H12" s="8" t="str">
        <f>"000026"</f>
        <v>000026</v>
      </c>
      <c r="I12" s="7">
        <v>42716</v>
      </c>
      <c r="J12" s="8" t="str">
        <f>"000039"</f>
        <v>000039</v>
      </c>
      <c r="K12" s="7">
        <v>43124</v>
      </c>
      <c r="L12" s="8" t="str">
        <f>"000039"</f>
        <v>000039</v>
      </c>
      <c r="M12" s="7">
        <v>43124</v>
      </c>
      <c r="N12" s="8">
        <v>16</v>
      </c>
      <c r="O12" s="8" t="str">
        <f>"003945"</f>
        <v>003945</v>
      </c>
      <c r="P12" s="7">
        <v>43299</v>
      </c>
      <c r="Q12" s="10">
        <v>3.0798700000000001</v>
      </c>
      <c r="R12" s="10">
        <v>0.76427</v>
      </c>
      <c r="S12" s="10">
        <v>2.3155999999999999</v>
      </c>
      <c r="T12" s="8">
        <v>29</v>
      </c>
      <c r="U12" s="7">
        <v>43580</v>
      </c>
      <c r="V12" s="8">
        <v>9620096296</v>
      </c>
      <c r="W12" s="9" t="s">
        <v>45</v>
      </c>
      <c r="X12" s="8" t="s">
        <v>29</v>
      </c>
      <c r="Y12" s="9" t="s">
        <v>30</v>
      </c>
      <c r="Z12" s="8" t="s">
        <v>31</v>
      </c>
      <c r="AA12" s="9" t="s">
        <v>32</v>
      </c>
      <c r="AB12" s="10">
        <f t="shared" si="0"/>
        <v>3.0798700000000002E-2</v>
      </c>
    </row>
    <row r="13" spans="1:28" s="4" customFormat="1" ht="13" x14ac:dyDescent="0.3">
      <c r="A13" s="5">
        <v>272</v>
      </c>
      <c r="B13" s="6" t="s">
        <v>28</v>
      </c>
      <c r="C13" s="7">
        <v>43582</v>
      </c>
      <c r="D13" s="8">
        <v>7</v>
      </c>
      <c r="E13" s="9" t="s">
        <v>54</v>
      </c>
      <c r="F13" s="8" t="s">
        <v>80</v>
      </c>
      <c r="G13" s="9" t="s">
        <v>81</v>
      </c>
      <c r="H13" s="8" t="str">
        <f>"000016"</f>
        <v>000016</v>
      </c>
      <c r="I13" s="7">
        <v>42875</v>
      </c>
      <c r="J13" s="8" t="str">
        <f>"000011"</f>
        <v>000011</v>
      </c>
      <c r="K13" s="7">
        <v>43067</v>
      </c>
      <c r="L13" s="8" t="str">
        <f>"000011"</f>
        <v>000011</v>
      </c>
      <c r="M13" s="7">
        <v>43067</v>
      </c>
      <c r="N13" s="8">
        <v>17</v>
      </c>
      <c r="O13" s="8" t="str">
        <f>"001042"</f>
        <v>001042</v>
      </c>
      <c r="P13" s="7">
        <v>43580</v>
      </c>
      <c r="Q13" s="10">
        <v>43.962290000000003</v>
      </c>
      <c r="R13" s="10">
        <v>5.5392400000000004</v>
      </c>
      <c r="S13" s="10">
        <v>38.423050000000003</v>
      </c>
      <c r="T13" s="8">
        <v>31</v>
      </c>
      <c r="U13" s="7">
        <v>43582</v>
      </c>
      <c r="V13" s="8">
        <v>0</v>
      </c>
      <c r="W13" s="9" t="s">
        <v>82</v>
      </c>
      <c r="X13" s="8" t="s">
        <v>83</v>
      </c>
      <c r="Y13" s="9" t="s">
        <v>84</v>
      </c>
      <c r="Z13" s="8" t="s">
        <v>31</v>
      </c>
      <c r="AA13" s="9" t="s">
        <v>32</v>
      </c>
      <c r="AB13" s="10">
        <f t="shared" si="0"/>
        <v>0.43962290000000004</v>
      </c>
    </row>
    <row r="14" spans="1:28" s="4" customFormat="1" ht="13" x14ac:dyDescent="0.3">
      <c r="A14" s="5">
        <v>273</v>
      </c>
      <c r="B14" s="6" t="s">
        <v>40</v>
      </c>
      <c r="C14" s="7">
        <v>43588</v>
      </c>
      <c r="D14" s="8">
        <v>7</v>
      </c>
      <c r="E14" s="9" t="s">
        <v>54</v>
      </c>
      <c r="F14" s="8" t="s">
        <v>72</v>
      </c>
      <c r="G14" s="9" t="s">
        <v>73</v>
      </c>
      <c r="H14" s="8" t="str">
        <f>"000259"</f>
        <v>000259</v>
      </c>
      <c r="I14" s="7">
        <v>42825</v>
      </c>
      <c r="J14" s="8" t="str">
        <f>"000038"</f>
        <v>000038</v>
      </c>
      <c r="K14" s="7">
        <v>43150</v>
      </c>
      <c r="L14" s="8" t="str">
        <f>"000114"</f>
        <v>000114</v>
      </c>
      <c r="M14" s="7">
        <v>43152</v>
      </c>
      <c r="N14" s="8">
        <v>16</v>
      </c>
      <c r="O14" s="8" t="str">
        <f>"000002"</f>
        <v>000002</v>
      </c>
      <c r="P14" s="7">
        <v>43191</v>
      </c>
      <c r="Q14" s="10">
        <v>86.827780000000004</v>
      </c>
      <c r="R14" s="10">
        <v>5.8832100000000001</v>
      </c>
      <c r="S14" s="10">
        <v>80.944569999999999</v>
      </c>
      <c r="T14" s="8">
        <v>33</v>
      </c>
      <c r="U14" s="7">
        <v>43588</v>
      </c>
      <c r="V14" s="8">
        <v>0</v>
      </c>
      <c r="W14" s="9" t="s">
        <v>106</v>
      </c>
      <c r="X14" s="8" t="s">
        <v>46</v>
      </c>
      <c r="Y14" s="9" t="s">
        <v>47</v>
      </c>
      <c r="Z14" s="8" t="s">
        <v>58</v>
      </c>
      <c r="AA14" s="9" t="s">
        <v>59</v>
      </c>
      <c r="AB14" s="10">
        <f t="shared" si="0"/>
        <v>0.86827779999999999</v>
      </c>
    </row>
    <row r="15" spans="1:28" s="4" customFormat="1" ht="13" x14ac:dyDescent="0.3">
      <c r="A15" s="5">
        <v>274</v>
      </c>
      <c r="B15" s="6" t="s">
        <v>40</v>
      </c>
      <c r="C15" s="7">
        <v>43591</v>
      </c>
      <c r="D15" s="8">
        <v>7</v>
      </c>
      <c r="E15" s="9" t="s">
        <v>54</v>
      </c>
      <c r="F15" s="8" t="s">
        <v>107</v>
      </c>
      <c r="G15" s="9" t="s">
        <v>108</v>
      </c>
      <c r="H15" s="8" t="str">
        <f>"000084"</f>
        <v>000084</v>
      </c>
      <c r="I15" s="7">
        <v>43326</v>
      </c>
      <c r="J15" s="8" t="str">
        <f>"000083"</f>
        <v>000083</v>
      </c>
      <c r="K15" s="7">
        <v>43540</v>
      </c>
      <c r="L15" s="8" t="str">
        <f>"000236"</f>
        <v>000236</v>
      </c>
      <c r="M15" s="7">
        <v>43540</v>
      </c>
      <c r="N15" s="8">
        <v>16</v>
      </c>
      <c r="O15" s="8" t="str">
        <f>"001231"</f>
        <v>001231</v>
      </c>
      <c r="P15" s="7">
        <v>43585</v>
      </c>
      <c r="Q15" s="10">
        <v>19.581340000000001</v>
      </c>
      <c r="R15" s="10">
        <v>2.3118099999999999</v>
      </c>
      <c r="S15" s="10">
        <v>17.26953</v>
      </c>
      <c r="T15" s="8">
        <v>35</v>
      </c>
      <c r="U15" s="7">
        <v>43591</v>
      </c>
      <c r="V15" s="8">
        <v>9342471293</v>
      </c>
      <c r="W15" s="9" t="s">
        <v>48</v>
      </c>
      <c r="X15" s="8" t="s">
        <v>93</v>
      </c>
      <c r="Y15" s="9" t="s">
        <v>94</v>
      </c>
      <c r="Z15" s="8" t="s">
        <v>58</v>
      </c>
      <c r="AA15" s="9" t="s">
        <v>59</v>
      </c>
      <c r="AB15" s="10">
        <f t="shared" si="0"/>
        <v>0.1958134</v>
      </c>
    </row>
    <row r="16" spans="1:28" s="4" customFormat="1" ht="13" x14ac:dyDescent="0.3">
      <c r="A16" s="5">
        <v>275</v>
      </c>
      <c r="B16" s="6" t="s">
        <v>40</v>
      </c>
      <c r="C16" s="7">
        <v>43591</v>
      </c>
      <c r="D16" s="8">
        <v>7</v>
      </c>
      <c r="E16" s="9" t="s">
        <v>54</v>
      </c>
      <c r="F16" s="8" t="s">
        <v>109</v>
      </c>
      <c r="G16" s="9" t="s">
        <v>110</v>
      </c>
      <c r="H16" s="8" t="str">
        <f>"000047"</f>
        <v>000047</v>
      </c>
      <c r="I16" s="7">
        <v>42849</v>
      </c>
      <c r="J16" s="8" t="str">
        <f>"000002"</f>
        <v>000002</v>
      </c>
      <c r="K16" s="7">
        <v>42977</v>
      </c>
      <c r="L16" s="8" t="str">
        <f>"000002"</f>
        <v>000002</v>
      </c>
      <c r="M16" s="7">
        <v>42977</v>
      </c>
      <c r="N16" s="8">
        <v>16</v>
      </c>
      <c r="O16" s="8" t="str">
        <f>"001298"</f>
        <v>001298</v>
      </c>
      <c r="P16" s="7">
        <v>43587</v>
      </c>
      <c r="Q16" s="10">
        <v>39.162999999999997</v>
      </c>
      <c r="R16" s="10">
        <v>2.54962</v>
      </c>
      <c r="S16" s="10">
        <v>36.613379999999999</v>
      </c>
      <c r="T16" s="8">
        <v>37</v>
      </c>
      <c r="U16" s="7">
        <v>43591</v>
      </c>
      <c r="V16" s="8">
        <v>9901043696</v>
      </c>
      <c r="W16" s="9" t="s">
        <v>64</v>
      </c>
      <c r="X16" s="8" t="s">
        <v>41</v>
      </c>
      <c r="Y16" s="9" t="s">
        <v>42</v>
      </c>
      <c r="Z16" s="8" t="s">
        <v>58</v>
      </c>
      <c r="AA16" s="9" t="s">
        <v>59</v>
      </c>
      <c r="AB16" s="10">
        <f t="shared" si="0"/>
        <v>0.39162999999999998</v>
      </c>
    </row>
    <row r="17" spans="1:28" s="4" customFormat="1" ht="13" x14ac:dyDescent="0.3">
      <c r="A17" s="5">
        <v>276</v>
      </c>
      <c r="B17" s="6" t="s">
        <v>40</v>
      </c>
      <c r="C17" s="7">
        <v>43598</v>
      </c>
      <c r="D17" s="8">
        <v>7</v>
      </c>
      <c r="E17" s="9" t="s">
        <v>54</v>
      </c>
      <c r="F17" s="8" t="s">
        <v>111</v>
      </c>
      <c r="G17" s="9" t="s">
        <v>112</v>
      </c>
      <c r="H17" s="8" t="str">
        <f>"000027"</f>
        <v>000027</v>
      </c>
      <c r="I17" s="7">
        <v>43490</v>
      </c>
      <c r="J17" s="8" t="str">
        <f>"000169"</f>
        <v>000169</v>
      </c>
      <c r="K17" s="7">
        <v>43532</v>
      </c>
      <c r="L17" s="8" t="str">
        <f>"000169"</f>
        <v>000169</v>
      </c>
      <c r="M17" s="7">
        <v>43532</v>
      </c>
      <c r="N17" s="8">
        <v>18</v>
      </c>
      <c r="O17" s="8" t="str">
        <f>"001430"</f>
        <v>001430</v>
      </c>
      <c r="P17" s="7">
        <v>43595</v>
      </c>
      <c r="Q17" s="10">
        <v>39.84469</v>
      </c>
      <c r="R17" s="10">
        <v>3.95885</v>
      </c>
      <c r="S17" s="10">
        <v>35.885840000000002</v>
      </c>
      <c r="T17" s="8">
        <v>41</v>
      </c>
      <c r="U17" s="7">
        <v>43598</v>
      </c>
      <c r="V17" s="8">
        <v>9449863064</v>
      </c>
      <c r="W17" s="9" t="s">
        <v>50</v>
      </c>
      <c r="X17" s="8" t="s">
        <v>113</v>
      </c>
      <c r="Y17" s="9" t="s">
        <v>114</v>
      </c>
      <c r="Z17" s="8" t="s">
        <v>35</v>
      </c>
      <c r="AA17" s="9" t="s">
        <v>36</v>
      </c>
      <c r="AB17" s="10">
        <f t="shared" si="0"/>
        <v>0.39844689999999999</v>
      </c>
    </row>
    <row r="18" spans="1:28" s="4" customFormat="1" ht="13" x14ac:dyDescent="0.3">
      <c r="A18" s="5">
        <v>277</v>
      </c>
      <c r="B18" s="6" t="s">
        <v>40</v>
      </c>
      <c r="C18" s="7">
        <v>43600</v>
      </c>
      <c r="D18" s="8">
        <v>7</v>
      </c>
      <c r="E18" s="9" t="s">
        <v>54</v>
      </c>
      <c r="F18" s="8" t="s">
        <v>115</v>
      </c>
      <c r="G18" s="9" t="s">
        <v>116</v>
      </c>
      <c r="H18" s="8" t="str">
        <f>"000029"</f>
        <v>000029</v>
      </c>
      <c r="I18" s="7">
        <v>43490</v>
      </c>
      <c r="J18" s="8" t="str">
        <f>"000164"</f>
        <v>000164</v>
      </c>
      <c r="K18" s="7">
        <v>43511</v>
      </c>
      <c r="L18" s="8" t="str">
        <f>"000163"</f>
        <v>000163</v>
      </c>
      <c r="M18" s="7">
        <v>43511</v>
      </c>
      <c r="N18" s="8">
        <v>18</v>
      </c>
      <c r="O18" s="8" t="str">
        <f>"001609"</f>
        <v>001609</v>
      </c>
      <c r="P18" s="7">
        <v>43600</v>
      </c>
      <c r="Q18" s="10">
        <v>39.606200000000001</v>
      </c>
      <c r="R18" s="10">
        <v>3.9153600000000002</v>
      </c>
      <c r="S18" s="10">
        <v>35.690840000000001</v>
      </c>
      <c r="T18" s="8">
        <v>46</v>
      </c>
      <c r="U18" s="7">
        <v>43600</v>
      </c>
      <c r="V18" s="8">
        <v>9449863064</v>
      </c>
      <c r="W18" s="9" t="s">
        <v>50</v>
      </c>
      <c r="X18" s="8" t="s">
        <v>117</v>
      </c>
      <c r="Y18" s="9" t="s">
        <v>118</v>
      </c>
      <c r="Z18" s="8" t="s">
        <v>35</v>
      </c>
      <c r="AA18" s="9" t="s">
        <v>36</v>
      </c>
      <c r="AB18" s="10">
        <f t="shared" si="0"/>
        <v>0.39606200000000003</v>
      </c>
    </row>
    <row r="19" spans="1:28" s="4" customFormat="1" ht="13" x14ac:dyDescent="0.3">
      <c r="A19" s="5">
        <v>278</v>
      </c>
      <c r="B19" s="6" t="s">
        <v>40</v>
      </c>
      <c r="C19" s="7">
        <v>43601</v>
      </c>
      <c r="D19" s="8">
        <v>7</v>
      </c>
      <c r="E19" s="9" t="s">
        <v>54</v>
      </c>
      <c r="F19" s="8" t="s">
        <v>119</v>
      </c>
      <c r="G19" s="9" t="s">
        <v>120</v>
      </c>
      <c r="H19" s="8" t="str">
        <f>"000278"</f>
        <v>000278</v>
      </c>
      <c r="I19" s="7">
        <v>42432</v>
      </c>
      <c r="J19" s="8" t="str">
        <f>"000038"</f>
        <v>000038</v>
      </c>
      <c r="K19" s="7">
        <v>43370</v>
      </c>
      <c r="L19" s="8" t="str">
        <f>"000117"</f>
        <v>000117</v>
      </c>
      <c r="M19" s="7">
        <v>43371</v>
      </c>
      <c r="N19" s="8">
        <v>15</v>
      </c>
      <c r="O19" s="8" t="str">
        <f>"001452"</f>
        <v>001452</v>
      </c>
      <c r="P19" s="7">
        <v>43598</v>
      </c>
      <c r="Q19" s="10">
        <v>28.169930000000001</v>
      </c>
      <c r="R19" s="10">
        <v>1.0179</v>
      </c>
      <c r="S19" s="10">
        <v>27.15203</v>
      </c>
      <c r="T19" s="8">
        <v>48</v>
      </c>
      <c r="U19" s="7">
        <v>43601</v>
      </c>
      <c r="V19" s="8">
        <v>9845890399</v>
      </c>
      <c r="W19" s="9" t="s">
        <v>121</v>
      </c>
      <c r="X19" s="8" t="s">
        <v>44</v>
      </c>
      <c r="Y19" s="9" t="s">
        <v>43</v>
      </c>
      <c r="Z19" s="8" t="s">
        <v>58</v>
      </c>
      <c r="AA19" s="9" t="s">
        <v>59</v>
      </c>
      <c r="AB19" s="10">
        <f t="shared" si="0"/>
        <v>0.28169929999999999</v>
      </c>
    </row>
    <row r="20" spans="1:28" s="4" customFormat="1" ht="13" x14ac:dyDescent="0.3">
      <c r="A20" s="5">
        <v>279</v>
      </c>
      <c r="B20" s="6" t="s">
        <v>40</v>
      </c>
      <c r="C20" s="7">
        <v>43601</v>
      </c>
      <c r="D20" s="8">
        <v>7</v>
      </c>
      <c r="E20" s="9" t="s">
        <v>54</v>
      </c>
      <c r="F20" s="8" t="s">
        <v>122</v>
      </c>
      <c r="G20" s="9" t="s">
        <v>123</v>
      </c>
      <c r="H20" s="8" t="str">
        <f>"000092"</f>
        <v>000092</v>
      </c>
      <c r="I20" s="7">
        <v>43162</v>
      </c>
      <c r="J20" s="8" t="str">
        <f>"000058"</f>
        <v>000058</v>
      </c>
      <c r="K20" s="7">
        <v>43467</v>
      </c>
      <c r="L20" s="8" t="str">
        <f>"000189"</f>
        <v>000189</v>
      </c>
      <c r="M20" s="7">
        <v>43484</v>
      </c>
      <c r="N20" s="8">
        <v>18</v>
      </c>
      <c r="O20" s="8" t="str">
        <f>"001458"</f>
        <v>001458</v>
      </c>
      <c r="P20" s="7">
        <v>43598</v>
      </c>
      <c r="Q20" s="10">
        <v>49.651299999999999</v>
      </c>
      <c r="R20" s="10">
        <v>4.9786400000000004</v>
      </c>
      <c r="S20" s="10">
        <v>44.67266</v>
      </c>
      <c r="T20" s="8">
        <v>48</v>
      </c>
      <c r="U20" s="7">
        <v>43601</v>
      </c>
      <c r="V20" s="8">
        <v>9845626122</v>
      </c>
      <c r="W20" s="9" t="s">
        <v>103</v>
      </c>
      <c r="X20" s="8" t="s">
        <v>124</v>
      </c>
      <c r="Y20" s="9" t="s">
        <v>125</v>
      </c>
      <c r="Z20" s="8" t="s">
        <v>58</v>
      </c>
      <c r="AA20" s="9" t="s">
        <v>59</v>
      </c>
      <c r="AB20" s="10">
        <f t="shared" si="0"/>
        <v>0.49651299999999998</v>
      </c>
    </row>
    <row r="21" spans="1:28" s="4" customFormat="1" ht="13" x14ac:dyDescent="0.3">
      <c r="A21" s="5">
        <v>280</v>
      </c>
      <c r="B21" s="6" t="s">
        <v>40</v>
      </c>
      <c r="C21" s="7">
        <v>43601</v>
      </c>
      <c r="D21" s="8">
        <v>7</v>
      </c>
      <c r="E21" s="9" t="s">
        <v>54</v>
      </c>
      <c r="F21" s="8" t="s">
        <v>126</v>
      </c>
      <c r="G21" s="9" t="s">
        <v>127</v>
      </c>
      <c r="H21" s="8" t="str">
        <f>"000084"</f>
        <v>000084</v>
      </c>
      <c r="I21" s="7">
        <v>43162</v>
      </c>
      <c r="J21" s="8" t="str">
        <f>"000061"</f>
        <v>000061</v>
      </c>
      <c r="K21" s="7">
        <v>43484</v>
      </c>
      <c r="L21" s="8" t="str">
        <f>"000191"</f>
        <v>000191</v>
      </c>
      <c r="M21" s="7">
        <v>43484</v>
      </c>
      <c r="N21" s="8">
        <v>18</v>
      </c>
      <c r="O21" s="8" t="str">
        <f>"001459"</f>
        <v>001459</v>
      </c>
      <c r="P21" s="7">
        <v>43598</v>
      </c>
      <c r="Q21" s="10">
        <v>49.898960000000002</v>
      </c>
      <c r="R21" s="10">
        <v>5.21211</v>
      </c>
      <c r="S21" s="10">
        <v>44.68685</v>
      </c>
      <c r="T21" s="8">
        <v>48</v>
      </c>
      <c r="U21" s="7">
        <v>43601</v>
      </c>
      <c r="V21" s="8">
        <v>9845626122</v>
      </c>
      <c r="W21" s="9" t="s">
        <v>103</v>
      </c>
      <c r="X21" s="8" t="s">
        <v>124</v>
      </c>
      <c r="Y21" s="9" t="s">
        <v>125</v>
      </c>
      <c r="Z21" s="8" t="s">
        <v>58</v>
      </c>
      <c r="AA21" s="9" t="s">
        <v>59</v>
      </c>
      <c r="AB21" s="10">
        <f t="shared" si="0"/>
        <v>0.49898960000000003</v>
      </c>
    </row>
    <row r="22" spans="1:28" s="4" customFormat="1" ht="13" x14ac:dyDescent="0.3">
      <c r="A22" s="5">
        <v>281</v>
      </c>
      <c r="B22" s="6" t="s">
        <v>40</v>
      </c>
      <c r="C22" s="7">
        <v>43602</v>
      </c>
      <c r="D22" s="8">
        <v>7</v>
      </c>
      <c r="E22" s="9" t="s">
        <v>54</v>
      </c>
      <c r="F22" s="8" t="s">
        <v>128</v>
      </c>
      <c r="G22" s="9" t="s">
        <v>129</v>
      </c>
      <c r="H22" s="8" t="str">
        <f>"000197"</f>
        <v>000197</v>
      </c>
      <c r="I22" s="7">
        <v>42802</v>
      </c>
      <c r="J22" s="8" t="str">
        <f>"000004"</f>
        <v>000004</v>
      </c>
      <c r="K22" s="7">
        <v>42992</v>
      </c>
      <c r="L22" s="8" t="str">
        <f>"000014"</f>
        <v>000014</v>
      </c>
      <c r="M22" s="7">
        <v>42992</v>
      </c>
      <c r="N22" s="8">
        <v>17</v>
      </c>
      <c r="O22" s="8" t="str">
        <f>"001542"</f>
        <v>001542</v>
      </c>
      <c r="P22" s="7">
        <v>43599</v>
      </c>
      <c r="Q22" s="10">
        <v>21.9114</v>
      </c>
      <c r="R22" s="10">
        <v>1.0249999999999999</v>
      </c>
      <c r="S22" s="10">
        <v>20.886399999999998</v>
      </c>
      <c r="T22" s="8">
        <v>49</v>
      </c>
      <c r="U22" s="7">
        <v>43602</v>
      </c>
      <c r="V22" s="8">
        <v>9448000937</v>
      </c>
      <c r="W22" s="9" t="s">
        <v>130</v>
      </c>
      <c r="X22" s="8" t="s">
        <v>38</v>
      </c>
      <c r="Y22" s="9" t="s">
        <v>39</v>
      </c>
      <c r="Z22" s="8" t="s">
        <v>58</v>
      </c>
      <c r="AA22" s="9" t="s">
        <v>59</v>
      </c>
      <c r="AB22" s="10">
        <f t="shared" si="0"/>
        <v>0.219114</v>
      </c>
    </row>
    <row r="23" spans="1:28" s="4" customFormat="1" ht="13" x14ac:dyDescent="0.3">
      <c r="A23" s="5">
        <v>282</v>
      </c>
      <c r="B23" s="6" t="s">
        <v>40</v>
      </c>
      <c r="C23" s="7">
        <v>43606</v>
      </c>
      <c r="D23" s="8">
        <v>7</v>
      </c>
      <c r="E23" s="9" t="s">
        <v>54</v>
      </c>
      <c r="F23" s="8" t="s">
        <v>131</v>
      </c>
      <c r="G23" s="9" t="s">
        <v>132</v>
      </c>
      <c r="H23" s="8" t="str">
        <f>"000248"</f>
        <v>000248</v>
      </c>
      <c r="I23" s="7">
        <v>43524</v>
      </c>
      <c r="J23" s="8" t="str">
        <f>"000004"</f>
        <v>000004</v>
      </c>
      <c r="K23" s="7">
        <v>43567</v>
      </c>
      <c r="L23" s="8" t="str">
        <f>"000018"</f>
        <v>000018</v>
      </c>
      <c r="M23" s="7">
        <v>43567</v>
      </c>
      <c r="N23" s="8">
        <v>18</v>
      </c>
      <c r="O23" s="8" t="str">
        <f>"001770"</f>
        <v>001770</v>
      </c>
      <c r="P23" s="7">
        <v>43603</v>
      </c>
      <c r="Q23" s="10">
        <v>14.961959999999999</v>
      </c>
      <c r="R23" s="10">
        <v>1.4791000000000001</v>
      </c>
      <c r="S23" s="10">
        <v>13.482860000000001</v>
      </c>
      <c r="T23" s="8">
        <v>53</v>
      </c>
      <c r="U23" s="7">
        <v>43606</v>
      </c>
      <c r="V23" s="8">
        <v>9342471293</v>
      </c>
      <c r="W23" s="9" t="s">
        <v>49</v>
      </c>
      <c r="X23" s="8" t="s">
        <v>117</v>
      </c>
      <c r="Y23" s="9" t="s">
        <v>118</v>
      </c>
      <c r="Z23" s="8" t="s">
        <v>58</v>
      </c>
      <c r="AA23" s="9" t="s">
        <v>59</v>
      </c>
      <c r="AB23" s="10">
        <f t="shared" si="0"/>
        <v>0.14961959999999999</v>
      </c>
    </row>
    <row r="24" spans="1:28" s="4" customFormat="1" ht="13" x14ac:dyDescent="0.3">
      <c r="A24" s="5">
        <v>283</v>
      </c>
      <c r="B24" s="6" t="s">
        <v>40</v>
      </c>
      <c r="C24" s="7">
        <v>43606</v>
      </c>
      <c r="D24" s="8">
        <v>7</v>
      </c>
      <c r="E24" s="9" t="s">
        <v>54</v>
      </c>
      <c r="F24" s="8" t="s">
        <v>133</v>
      </c>
      <c r="G24" s="9" t="s">
        <v>134</v>
      </c>
      <c r="H24" s="8" t="str">
        <f>"000246"</f>
        <v>000246</v>
      </c>
      <c r="I24" s="7">
        <v>43524</v>
      </c>
      <c r="J24" s="8" t="str">
        <f>"000005"</f>
        <v>000005</v>
      </c>
      <c r="K24" s="7">
        <v>43567</v>
      </c>
      <c r="L24" s="8" t="str">
        <f>"000019"</f>
        <v>000019</v>
      </c>
      <c r="M24" s="7">
        <v>43567</v>
      </c>
      <c r="N24" s="8">
        <v>18</v>
      </c>
      <c r="O24" s="8" t="str">
        <f>"001771"</f>
        <v>001771</v>
      </c>
      <c r="P24" s="7">
        <v>43603</v>
      </c>
      <c r="Q24" s="10">
        <v>14.980639999999999</v>
      </c>
      <c r="R24" s="10">
        <v>1.55796</v>
      </c>
      <c r="S24" s="10">
        <v>13.42268</v>
      </c>
      <c r="T24" s="8">
        <v>53</v>
      </c>
      <c r="U24" s="7">
        <v>43606</v>
      </c>
      <c r="V24" s="8">
        <v>9342471293</v>
      </c>
      <c r="W24" s="9" t="s">
        <v>49</v>
      </c>
      <c r="X24" s="8" t="s">
        <v>135</v>
      </c>
      <c r="Y24" s="9" t="s">
        <v>136</v>
      </c>
      <c r="Z24" s="8" t="s">
        <v>58</v>
      </c>
      <c r="AA24" s="9" t="s">
        <v>59</v>
      </c>
      <c r="AB24" s="10">
        <f t="shared" si="0"/>
        <v>0.14980640000000001</v>
      </c>
    </row>
    <row r="25" spans="1:28" s="4" customFormat="1" ht="13" x14ac:dyDescent="0.3">
      <c r="A25" s="5">
        <v>284</v>
      </c>
      <c r="B25" s="6" t="s">
        <v>40</v>
      </c>
      <c r="C25" s="7">
        <v>43606</v>
      </c>
      <c r="D25" s="8">
        <v>7</v>
      </c>
      <c r="E25" s="9" t="s">
        <v>54</v>
      </c>
      <c r="F25" s="8" t="s">
        <v>137</v>
      </c>
      <c r="G25" s="9" t="s">
        <v>138</v>
      </c>
      <c r="H25" s="8" t="str">
        <f>"000072"</f>
        <v>000072</v>
      </c>
      <c r="I25" s="7">
        <v>43307</v>
      </c>
      <c r="J25" s="8" t="str">
        <f>"000003"</f>
        <v>000003</v>
      </c>
      <c r="K25" s="7">
        <v>43561</v>
      </c>
      <c r="L25" s="8" t="str">
        <f>"000011"</f>
        <v>000011</v>
      </c>
      <c r="M25" s="7">
        <v>43561</v>
      </c>
      <c r="N25" s="8">
        <v>18</v>
      </c>
      <c r="O25" s="8" t="str">
        <f>"001778"</f>
        <v>001778</v>
      </c>
      <c r="P25" s="7">
        <v>43603</v>
      </c>
      <c r="Q25" s="10">
        <v>72.790930000000003</v>
      </c>
      <c r="R25" s="10">
        <v>4.0586099999999998</v>
      </c>
      <c r="S25" s="10">
        <v>68.732320000000001</v>
      </c>
      <c r="T25" s="8">
        <v>53</v>
      </c>
      <c r="U25" s="7">
        <v>43606</v>
      </c>
      <c r="V25" s="8">
        <v>9886213563</v>
      </c>
      <c r="W25" s="9" t="s">
        <v>139</v>
      </c>
      <c r="X25" s="8" t="s">
        <v>135</v>
      </c>
      <c r="Y25" s="9" t="s">
        <v>136</v>
      </c>
      <c r="Z25" s="8" t="s">
        <v>58</v>
      </c>
      <c r="AA25" s="9" t="s">
        <v>59</v>
      </c>
      <c r="AB25" s="10">
        <f t="shared" si="0"/>
        <v>0.72790929999999998</v>
      </c>
    </row>
    <row r="26" spans="1:28" s="4" customFormat="1" ht="13" x14ac:dyDescent="0.3">
      <c r="A26" s="5">
        <v>285</v>
      </c>
      <c r="B26" s="6" t="s">
        <v>40</v>
      </c>
      <c r="C26" s="7">
        <v>43606</v>
      </c>
      <c r="D26" s="8">
        <v>7</v>
      </c>
      <c r="E26" s="9" t="s">
        <v>54</v>
      </c>
      <c r="F26" s="8" t="s">
        <v>67</v>
      </c>
      <c r="G26" s="9" t="s">
        <v>68</v>
      </c>
      <c r="H26" s="8" t="str">
        <f>"000026"</f>
        <v>000026</v>
      </c>
      <c r="I26" s="7">
        <v>42716</v>
      </c>
      <c r="J26" s="8" t="str">
        <f>"000039"</f>
        <v>000039</v>
      </c>
      <c r="K26" s="7">
        <v>43124</v>
      </c>
      <c r="L26" s="8" t="str">
        <f>"000039"</f>
        <v>000039</v>
      </c>
      <c r="M26" s="7">
        <v>43124</v>
      </c>
      <c r="N26" s="8">
        <v>16</v>
      </c>
      <c r="O26" s="8" t="str">
        <f>"003945"</f>
        <v>003945</v>
      </c>
      <c r="P26" s="7">
        <v>43299</v>
      </c>
      <c r="Q26" s="10">
        <v>4.5309400000000002</v>
      </c>
      <c r="R26" s="10">
        <v>0.53225</v>
      </c>
      <c r="S26" s="10">
        <v>3.9986899999999999</v>
      </c>
      <c r="T26" s="8">
        <v>55</v>
      </c>
      <c r="U26" s="7">
        <v>43606</v>
      </c>
      <c r="V26" s="8">
        <v>9620096296</v>
      </c>
      <c r="W26" s="9" t="s">
        <v>45</v>
      </c>
      <c r="X26" s="8" t="s">
        <v>29</v>
      </c>
      <c r="Y26" s="9" t="s">
        <v>30</v>
      </c>
      <c r="Z26" s="8" t="s">
        <v>31</v>
      </c>
      <c r="AA26" s="9" t="s">
        <v>32</v>
      </c>
      <c r="AB26" s="10">
        <f t="shared" si="0"/>
        <v>4.53094E-2</v>
      </c>
    </row>
    <row r="27" spans="1:28" s="4" customFormat="1" ht="13" x14ac:dyDescent="0.3">
      <c r="A27" s="5">
        <v>286</v>
      </c>
      <c r="B27" s="6" t="s">
        <v>40</v>
      </c>
      <c r="C27" s="7">
        <v>43610</v>
      </c>
      <c r="D27" s="8">
        <v>7</v>
      </c>
      <c r="E27" s="9" t="s">
        <v>54</v>
      </c>
      <c r="F27" s="8" t="s">
        <v>140</v>
      </c>
      <c r="G27" s="9" t="s">
        <v>141</v>
      </c>
      <c r="H27" s="8" t="str">
        <f>"000032"</f>
        <v>000032</v>
      </c>
      <c r="I27" s="7">
        <v>43490</v>
      </c>
      <c r="J27" s="8" t="str">
        <f>"000012"</f>
        <v>000012</v>
      </c>
      <c r="K27" s="7">
        <v>43582</v>
      </c>
      <c r="L27" s="8" t="str">
        <f>"000012"</f>
        <v>000012</v>
      </c>
      <c r="M27" s="7">
        <v>43582</v>
      </c>
      <c r="N27" s="8">
        <v>18</v>
      </c>
      <c r="O27" s="8" t="str">
        <f>"001858"</f>
        <v>001858</v>
      </c>
      <c r="P27" s="7">
        <v>43606</v>
      </c>
      <c r="Q27" s="10">
        <v>38.738520000000001</v>
      </c>
      <c r="R27" s="10">
        <v>3.9651999999999998</v>
      </c>
      <c r="S27" s="10">
        <v>34.773319999999998</v>
      </c>
      <c r="T27" s="8">
        <v>58</v>
      </c>
      <c r="U27" s="7">
        <v>43610</v>
      </c>
      <c r="V27" s="8">
        <v>9449863064</v>
      </c>
      <c r="W27" s="9" t="s">
        <v>50</v>
      </c>
      <c r="X27" s="8" t="s">
        <v>142</v>
      </c>
      <c r="Y27" s="9" t="s">
        <v>143</v>
      </c>
      <c r="Z27" s="8" t="s">
        <v>35</v>
      </c>
      <c r="AA27" s="9" t="s">
        <v>36</v>
      </c>
      <c r="AB27" s="10">
        <f t="shared" si="0"/>
        <v>0.38738519999999999</v>
      </c>
    </row>
    <row r="28" spans="1:28" s="4" customFormat="1" ht="13" x14ac:dyDescent="0.3">
      <c r="A28" s="5">
        <v>287</v>
      </c>
      <c r="B28" s="6" t="s">
        <v>40</v>
      </c>
      <c r="C28" s="7">
        <v>43610</v>
      </c>
      <c r="D28" s="8">
        <v>7</v>
      </c>
      <c r="E28" s="9" t="s">
        <v>54</v>
      </c>
      <c r="F28" s="8" t="s">
        <v>144</v>
      </c>
      <c r="G28" s="9" t="s">
        <v>145</v>
      </c>
      <c r="H28" s="8" t="str">
        <f>"000013"</f>
        <v>000013</v>
      </c>
      <c r="I28" s="7">
        <v>43132</v>
      </c>
      <c r="J28" s="8" t="str">
        <f>"000064"</f>
        <v>000064</v>
      </c>
      <c r="K28" s="7">
        <v>43419</v>
      </c>
      <c r="L28" s="8" t="str">
        <f>"000100"</f>
        <v>000100</v>
      </c>
      <c r="M28" s="7">
        <v>43419</v>
      </c>
      <c r="N28" s="8">
        <v>18</v>
      </c>
      <c r="O28" s="8" t="str">
        <f>"001863"</f>
        <v>001863</v>
      </c>
      <c r="P28" s="7">
        <v>43606</v>
      </c>
      <c r="Q28" s="10">
        <v>0.61355000000000004</v>
      </c>
      <c r="R28" s="10">
        <v>7.732E-2</v>
      </c>
      <c r="S28" s="10">
        <v>0.53622999999999998</v>
      </c>
      <c r="T28" s="8">
        <v>58</v>
      </c>
      <c r="U28" s="7">
        <v>43610</v>
      </c>
      <c r="V28" s="8">
        <v>9449863065</v>
      </c>
      <c r="W28" s="9" t="s">
        <v>146</v>
      </c>
      <c r="X28" s="8" t="s">
        <v>52</v>
      </c>
      <c r="Y28" s="9" t="s">
        <v>53</v>
      </c>
      <c r="Z28" s="8" t="s">
        <v>31</v>
      </c>
      <c r="AA28" s="9" t="s">
        <v>32</v>
      </c>
      <c r="AB28" s="10">
        <f t="shared" si="0"/>
        <v>6.1355000000000003E-3</v>
      </c>
    </row>
    <row r="29" spans="1:28" s="4" customFormat="1" ht="13" x14ac:dyDescent="0.3">
      <c r="A29" s="5">
        <v>288</v>
      </c>
      <c r="B29" s="6" t="s">
        <v>40</v>
      </c>
      <c r="C29" s="7">
        <v>43610</v>
      </c>
      <c r="D29" s="8">
        <v>7</v>
      </c>
      <c r="E29" s="9" t="s">
        <v>54</v>
      </c>
      <c r="F29" s="8" t="s">
        <v>147</v>
      </c>
      <c r="G29" s="9" t="s">
        <v>148</v>
      </c>
      <c r="H29" s="8" t="str">
        <f>"000014"</f>
        <v>000014</v>
      </c>
      <c r="I29" s="7">
        <v>43157</v>
      </c>
      <c r="J29" s="8" t="str">
        <f>"000065"</f>
        <v>000065</v>
      </c>
      <c r="K29" s="7">
        <v>43419</v>
      </c>
      <c r="L29" s="8" t="str">
        <f>"000101"</f>
        <v>000101</v>
      </c>
      <c r="M29" s="7">
        <v>43419</v>
      </c>
      <c r="N29" s="8">
        <v>18</v>
      </c>
      <c r="O29" s="8" t="str">
        <f>"001864"</f>
        <v>001864</v>
      </c>
      <c r="P29" s="7">
        <v>43606</v>
      </c>
      <c r="Q29" s="10">
        <v>0.21090999999999999</v>
      </c>
      <c r="R29" s="10">
        <v>2.6579999999999999E-2</v>
      </c>
      <c r="S29" s="10">
        <v>0.18432999999999999</v>
      </c>
      <c r="T29" s="8">
        <v>58</v>
      </c>
      <c r="U29" s="7">
        <v>43610</v>
      </c>
      <c r="V29" s="8">
        <v>9449863065</v>
      </c>
      <c r="W29" s="9" t="s">
        <v>149</v>
      </c>
      <c r="X29" s="8" t="s">
        <v>52</v>
      </c>
      <c r="Y29" s="9" t="s">
        <v>53</v>
      </c>
      <c r="Z29" s="8" t="s">
        <v>31</v>
      </c>
      <c r="AA29" s="9" t="s">
        <v>32</v>
      </c>
      <c r="AB29" s="10">
        <f t="shared" si="0"/>
        <v>2.1091E-3</v>
      </c>
    </row>
    <row r="30" spans="1:28" s="4" customFormat="1" ht="13" x14ac:dyDescent="0.3">
      <c r="A30" s="5">
        <v>289</v>
      </c>
      <c r="B30" s="6" t="s">
        <v>40</v>
      </c>
      <c r="C30" s="7">
        <v>43610</v>
      </c>
      <c r="D30" s="8">
        <v>7</v>
      </c>
      <c r="E30" s="9" t="s">
        <v>54</v>
      </c>
      <c r="F30" s="8" t="s">
        <v>150</v>
      </c>
      <c r="G30" s="9" t="s">
        <v>151</v>
      </c>
      <c r="H30" s="8" t="str">
        <f>"000015"</f>
        <v>000015</v>
      </c>
      <c r="I30" s="7">
        <v>42875</v>
      </c>
      <c r="J30" s="8" t="str">
        <f>"000035"</f>
        <v>000035</v>
      </c>
      <c r="K30" s="7">
        <v>43124</v>
      </c>
      <c r="L30" s="8" t="str">
        <f>"000035"</f>
        <v>000035</v>
      </c>
      <c r="M30" s="7">
        <v>43124</v>
      </c>
      <c r="N30" s="8">
        <v>17</v>
      </c>
      <c r="O30" s="8" t="str">
        <f>"002065"</f>
        <v>002065</v>
      </c>
      <c r="P30" s="7">
        <v>43609</v>
      </c>
      <c r="Q30" s="10">
        <v>38.972929999999998</v>
      </c>
      <c r="R30" s="10">
        <v>2.4858799999999999</v>
      </c>
      <c r="S30" s="10">
        <v>36.487050000000004</v>
      </c>
      <c r="T30" s="8">
        <v>59</v>
      </c>
      <c r="U30" s="7">
        <v>43610</v>
      </c>
      <c r="V30" s="8">
        <v>0</v>
      </c>
      <c r="W30" s="9" t="s">
        <v>152</v>
      </c>
      <c r="X30" s="8" t="s">
        <v>83</v>
      </c>
      <c r="Y30" s="9" t="s">
        <v>84</v>
      </c>
      <c r="Z30" s="8" t="s">
        <v>31</v>
      </c>
      <c r="AA30" s="9" t="s">
        <v>32</v>
      </c>
      <c r="AB30" s="10">
        <f t="shared" si="0"/>
        <v>0.3897293</v>
      </c>
    </row>
    <row r="31" spans="1:28" s="4" customFormat="1" ht="13" x14ac:dyDescent="0.3">
      <c r="A31" s="5">
        <v>290</v>
      </c>
      <c r="B31" s="6" t="s">
        <v>40</v>
      </c>
      <c r="C31" s="7">
        <v>43615</v>
      </c>
      <c r="D31" s="8">
        <v>7</v>
      </c>
      <c r="E31" s="9" t="s">
        <v>54</v>
      </c>
      <c r="F31" s="8" t="s">
        <v>153</v>
      </c>
      <c r="G31" s="9" t="s">
        <v>154</v>
      </c>
      <c r="H31" s="8" t="str">
        <f>"000204"</f>
        <v>000204</v>
      </c>
      <c r="I31" s="7">
        <v>42802</v>
      </c>
      <c r="J31" s="8" t="str">
        <f>"000017"</f>
        <v>000017</v>
      </c>
      <c r="K31" s="7">
        <v>43054</v>
      </c>
      <c r="L31" s="8" t="str">
        <f>"000049"</f>
        <v>000049</v>
      </c>
      <c r="M31" s="7">
        <v>43062</v>
      </c>
      <c r="N31" s="8">
        <v>17</v>
      </c>
      <c r="O31" s="8" t="str">
        <f>"002207"</f>
        <v>002207</v>
      </c>
      <c r="P31" s="7">
        <v>43613</v>
      </c>
      <c r="Q31" s="10">
        <v>18.167739999999998</v>
      </c>
      <c r="R31" s="10">
        <v>1.25648</v>
      </c>
      <c r="S31" s="10">
        <v>16.911259999999999</v>
      </c>
      <c r="T31" s="8">
        <v>65</v>
      </c>
      <c r="U31" s="7">
        <v>43615</v>
      </c>
      <c r="V31" s="8">
        <v>9845641836</v>
      </c>
      <c r="W31" s="9" t="s">
        <v>155</v>
      </c>
      <c r="X31" s="8" t="s">
        <v>38</v>
      </c>
      <c r="Y31" s="9" t="s">
        <v>39</v>
      </c>
      <c r="Z31" s="8" t="s">
        <v>58</v>
      </c>
      <c r="AA31" s="9" t="s">
        <v>59</v>
      </c>
      <c r="AB31" s="10">
        <f t="shared" si="0"/>
        <v>0.18167739999999999</v>
      </c>
    </row>
    <row r="32" spans="1:28" s="4" customFormat="1" ht="13" x14ac:dyDescent="0.3">
      <c r="A32" s="5">
        <v>291</v>
      </c>
      <c r="B32" s="6" t="s">
        <v>40</v>
      </c>
      <c r="C32" s="7">
        <v>43615</v>
      </c>
      <c r="D32" s="8">
        <v>7</v>
      </c>
      <c r="E32" s="9" t="s">
        <v>54</v>
      </c>
      <c r="F32" s="8" t="s">
        <v>156</v>
      </c>
      <c r="G32" s="9" t="s">
        <v>157</v>
      </c>
      <c r="H32" s="8" t="str">
        <f>"000227"</f>
        <v>000227</v>
      </c>
      <c r="I32" s="7">
        <v>42809</v>
      </c>
      <c r="J32" s="8" t="str">
        <f>"000020"</f>
        <v>000020</v>
      </c>
      <c r="K32" s="7">
        <v>43054</v>
      </c>
      <c r="L32" s="8" t="str">
        <f>"000050"</f>
        <v>000050</v>
      </c>
      <c r="M32" s="7">
        <v>43062</v>
      </c>
      <c r="N32" s="8">
        <v>17</v>
      </c>
      <c r="O32" s="8" t="str">
        <f>"002208"</f>
        <v>002208</v>
      </c>
      <c r="P32" s="7">
        <v>43613</v>
      </c>
      <c r="Q32" s="10">
        <v>22.84995</v>
      </c>
      <c r="R32" s="10">
        <v>1.6109199999999999</v>
      </c>
      <c r="S32" s="10">
        <v>21.23903</v>
      </c>
      <c r="T32" s="8">
        <v>65</v>
      </c>
      <c r="U32" s="7">
        <v>43615</v>
      </c>
      <c r="V32" s="8">
        <v>9845641836</v>
      </c>
      <c r="W32" s="9" t="s">
        <v>155</v>
      </c>
      <c r="X32" s="8" t="s">
        <v>38</v>
      </c>
      <c r="Y32" s="9" t="s">
        <v>39</v>
      </c>
      <c r="Z32" s="8" t="s">
        <v>58</v>
      </c>
      <c r="AA32" s="9" t="s">
        <v>59</v>
      </c>
      <c r="AB32" s="10">
        <f t="shared" si="0"/>
        <v>0.22849949999999999</v>
      </c>
    </row>
    <row r="33" spans="1:28" s="4" customFormat="1" ht="13" x14ac:dyDescent="0.3">
      <c r="A33" s="5">
        <v>292</v>
      </c>
      <c r="B33" s="6" t="s">
        <v>40</v>
      </c>
      <c r="C33" s="7">
        <v>43615</v>
      </c>
      <c r="D33" s="8">
        <v>7</v>
      </c>
      <c r="E33" s="9" t="s">
        <v>54</v>
      </c>
      <c r="F33" s="8" t="s">
        <v>158</v>
      </c>
      <c r="G33" s="9" t="s">
        <v>159</v>
      </c>
      <c r="H33" s="8" t="str">
        <f>"000205"</f>
        <v>000205</v>
      </c>
      <c r="I33" s="7">
        <v>42802</v>
      </c>
      <c r="J33" s="8" t="str">
        <f>"000019"</f>
        <v>000019</v>
      </c>
      <c r="K33" s="7">
        <v>43054</v>
      </c>
      <c r="L33" s="8" t="str">
        <f>"000051"</f>
        <v>000051</v>
      </c>
      <c r="M33" s="7">
        <v>43062</v>
      </c>
      <c r="N33" s="8">
        <v>17</v>
      </c>
      <c r="O33" s="8" t="str">
        <f>"002209"</f>
        <v>002209</v>
      </c>
      <c r="P33" s="7">
        <v>43613</v>
      </c>
      <c r="Q33" s="10">
        <v>18.053560000000001</v>
      </c>
      <c r="R33" s="10">
        <v>1.2477199999999999</v>
      </c>
      <c r="S33" s="10">
        <v>16.80584</v>
      </c>
      <c r="T33" s="8">
        <v>65</v>
      </c>
      <c r="U33" s="7">
        <v>43615</v>
      </c>
      <c r="V33" s="8">
        <v>9845641836</v>
      </c>
      <c r="W33" s="9" t="s">
        <v>155</v>
      </c>
      <c r="X33" s="8" t="s">
        <v>38</v>
      </c>
      <c r="Y33" s="9" t="s">
        <v>39</v>
      </c>
      <c r="Z33" s="8" t="s">
        <v>58</v>
      </c>
      <c r="AA33" s="9" t="s">
        <v>59</v>
      </c>
      <c r="AB33" s="10">
        <f t="shared" si="0"/>
        <v>0.18053560000000002</v>
      </c>
    </row>
    <row r="34" spans="1:28" s="4" customFormat="1" ht="13" x14ac:dyDescent="0.3">
      <c r="A34" s="5">
        <v>293</v>
      </c>
      <c r="B34" s="6" t="s">
        <v>40</v>
      </c>
      <c r="C34" s="7">
        <v>43615</v>
      </c>
      <c r="D34" s="8">
        <v>7</v>
      </c>
      <c r="E34" s="9" t="s">
        <v>54</v>
      </c>
      <c r="F34" s="8" t="s">
        <v>160</v>
      </c>
      <c r="G34" s="9" t="s">
        <v>161</v>
      </c>
      <c r="H34" s="8" t="str">
        <f>"000207"</f>
        <v>000207</v>
      </c>
      <c r="I34" s="7">
        <v>42802</v>
      </c>
      <c r="J34" s="8" t="str">
        <f>"000018"</f>
        <v>000018</v>
      </c>
      <c r="K34" s="7">
        <v>43054</v>
      </c>
      <c r="L34" s="8" t="str">
        <f>"000052"</f>
        <v>000052</v>
      </c>
      <c r="M34" s="7">
        <v>43062</v>
      </c>
      <c r="N34" s="8">
        <v>17</v>
      </c>
      <c r="O34" s="8" t="str">
        <f>"002210"</f>
        <v>002210</v>
      </c>
      <c r="P34" s="7">
        <v>43613</v>
      </c>
      <c r="Q34" s="10">
        <v>22.823260000000001</v>
      </c>
      <c r="R34" s="10">
        <v>1.59534</v>
      </c>
      <c r="S34" s="10">
        <v>21.227920000000001</v>
      </c>
      <c r="T34" s="8">
        <v>65</v>
      </c>
      <c r="U34" s="7">
        <v>43615</v>
      </c>
      <c r="V34" s="8">
        <v>9845641836</v>
      </c>
      <c r="W34" s="9" t="s">
        <v>155</v>
      </c>
      <c r="X34" s="8" t="s">
        <v>38</v>
      </c>
      <c r="Y34" s="9" t="s">
        <v>39</v>
      </c>
      <c r="Z34" s="8" t="s">
        <v>58</v>
      </c>
      <c r="AA34" s="9" t="s">
        <v>59</v>
      </c>
      <c r="AB34" s="10">
        <f t="shared" si="0"/>
        <v>0.22823260000000001</v>
      </c>
    </row>
    <row r="35" spans="1:28" s="4" customFormat="1" ht="13" x14ac:dyDescent="0.3">
      <c r="A35" s="5">
        <v>294</v>
      </c>
      <c r="B35" s="6" t="s">
        <v>37</v>
      </c>
      <c r="C35" s="7">
        <v>43628</v>
      </c>
      <c r="D35" s="8">
        <v>7</v>
      </c>
      <c r="E35" s="9" t="s">
        <v>54</v>
      </c>
      <c r="F35" s="8" t="s">
        <v>85</v>
      </c>
      <c r="G35" s="9" t="s">
        <v>86</v>
      </c>
      <c r="H35" s="8" t="str">
        <f>"000196"</f>
        <v>000196</v>
      </c>
      <c r="I35" s="7">
        <v>42802</v>
      </c>
      <c r="J35" s="8" t="str">
        <f>"000021"</f>
        <v>000021</v>
      </c>
      <c r="K35" s="7">
        <v>43067</v>
      </c>
      <c r="L35" s="8" t="str">
        <f>"000062"</f>
        <v>000062</v>
      </c>
      <c r="M35" s="7">
        <v>43083</v>
      </c>
      <c r="N35" s="8">
        <v>17</v>
      </c>
      <c r="O35" s="8" t="str">
        <f>"002615"</f>
        <v>002615</v>
      </c>
      <c r="P35" s="7">
        <v>43627</v>
      </c>
      <c r="Q35" s="10">
        <v>22.345199999999998</v>
      </c>
      <c r="R35" s="10">
        <v>0.5585</v>
      </c>
      <c r="S35" s="10">
        <v>21.7867</v>
      </c>
      <c r="T35" s="8">
        <v>76</v>
      </c>
      <c r="U35" s="7">
        <v>43628</v>
      </c>
      <c r="V35" s="8">
        <v>9448000937</v>
      </c>
      <c r="W35" s="9" t="s">
        <v>87</v>
      </c>
      <c r="X35" s="8" t="s">
        <v>38</v>
      </c>
      <c r="Y35" s="9" t="s">
        <v>39</v>
      </c>
      <c r="Z35" s="8" t="s">
        <v>58</v>
      </c>
      <c r="AA35" s="9" t="s">
        <v>59</v>
      </c>
      <c r="AB35" s="10">
        <v>0.22345199999999998</v>
      </c>
    </row>
    <row r="36" spans="1:28" s="4" customFormat="1" ht="13" x14ac:dyDescent="0.3">
      <c r="A36" s="5">
        <v>295</v>
      </c>
      <c r="B36" s="6" t="s">
        <v>37</v>
      </c>
      <c r="C36" s="7">
        <v>43628</v>
      </c>
      <c r="D36" s="8">
        <v>7</v>
      </c>
      <c r="E36" s="9" t="s">
        <v>54</v>
      </c>
      <c r="F36" s="8" t="s">
        <v>88</v>
      </c>
      <c r="G36" s="9" t="s">
        <v>89</v>
      </c>
      <c r="H36" s="8" t="str">
        <f>"000177"</f>
        <v>000177</v>
      </c>
      <c r="I36" s="7">
        <v>43441</v>
      </c>
      <c r="J36" s="8" t="str">
        <f>"000070"</f>
        <v>000070</v>
      </c>
      <c r="K36" s="7">
        <v>43496</v>
      </c>
      <c r="L36" s="8" t="str">
        <f>"000205"</f>
        <v>000205</v>
      </c>
      <c r="M36" s="7">
        <v>43498</v>
      </c>
      <c r="N36" s="8">
        <v>19</v>
      </c>
      <c r="O36" s="8" t="str">
        <f>"002364"</f>
        <v>002364</v>
      </c>
      <c r="P36" s="7">
        <v>43619</v>
      </c>
      <c r="Q36" s="10">
        <v>99.958399999999997</v>
      </c>
      <c r="R36" s="10">
        <v>10.782640000000001</v>
      </c>
      <c r="S36" s="10">
        <v>89.175759999999997</v>
      </c>
      <c r="T36" s="8">
        <v>77</v>
      </c>
      <c r="U36" s="7">
        <v>43628</v>
      </c>
      <c r="V36" s="8">
        <v>9449863065</v>
      </c>
      <c r="W36" s="9" t="s">
        <v>90</v>
      </c>
      <c r="X36" s="8" t="s">
        <v>44</v>
      </c>
      <c r="Y36" s="9" t="s">
        <v>43</v>
      </c>
      <c r="Z36" s="8" t="s">
        <v>58</v>
      </c>
      <c r="AA36" s="9" t="s">
        <v>59</v>
      </c>
      <c r="AB36" s="10">
        <v>0.99958400000000003</v>
      </c>
    </row>
    <row r="37" spans="1:28" s="4" customFormat="1" ht="13" x14ac:dyDescent="0.3">
      <c r="A37" s="5">
        <v>296</v>
      </c>
      <c r="B37" s="6" t="s">
        <v>37</v>
      </c>
      <c r="C37" s="7">
        <v>43633</v>
      </c>
      <c r="D37" s="8">
        <v>7</v>
      </c>
      <c r="E37" s="9" t="s">
        <v>54</v>
      </c>
      <c r="F37" s="8" t="s">
        <v>91</v>
      </c>
      <c r="G37" s="9" t="s">
        <v>92</v>
      </c>
      <c r="H37" s="8" t="str">
        <f>"000033"</f>
        <v>000033</v>
      </c>
      <c r="I37" s="7">
        <v>43494</v>
      </c>
      <c r="J37" s="8" t="str">
        <f>"000022"</f>
        <v>000022</v>
      </c>
      <c r="K37" s="7">
        <v>43599</v>
      </c>
      <c r="L37" s="8" t="str">
        <f>"000022"</f>
        <v>000022</v>
      </c>
      <c r="M37" s="7">
        <v>43599</v>
      </c>
      <c r="N37" s="8">
        <v>17</v>
      </c>
      <c r="O37" s="8" t="str">
        <f>"002688"</f>
        <v>002688</v>
      </c>
      <c r="P37" s="7">
        <v>43629</v>
      </c>
      <c r="Q37" s="10">
        <v>99.047139999999999</v>
      </c>
      <c r="R37" s="10">
        <v>9.7915200000000002</v>
      </c>
      <c r="S37" s="10">
        <v>89.255619999999993</v>
      </c>
      <c r="T37" s="8">
        <v>83</v>
      </c>
      <c r="U37" s="7">
        <v>43633</v>
      </c>
      <c r="V37" s="8">
        <v>9449863064</v>
      </c>
      <c r="W37" s="9" t="s">
        <v>50</v>
      </c>
      <c r="X37" s="8" t="s">
        <v>93</v>
      </c>
      <c r="Y37" s="9" t="s">
        <v>94</v>
      </c>
      <c r="Z37" s="8" t="s">
        <v>35</v>
      </c>
      <c r="AA37" s="9" t="s">
        <v>36</v>
      </c>
      <c r="AB37" s="10">
        <v>0.9904714</v>
      </c>
    </row>
    <row r="38" spans="1:28" s="4" customFormat="1" ht="13" x14ac:dyDescent="0.3">
      <c r="A38" s="5">
        <v>297</v>
      </c>
      <c r="B38" s="6" t="s">
        <v>37</v>
      </c>
      <c r="C38" s="7">
        <v>43633</v>
      </c>
      <c r="D38" s="8">
        <v>7</v>
      </c>
      <c r="E38" s="9" t="s">
        <v>54</v>
      </c>
      <c r="F38" s="8" t="s">
        <v>95</v>
      </c>
      <c r="G38" s="9" t="s">
        <v>96</v>
      </c>
      <c r="H38" s="8" t="str">
        <f>"000134"</f>
        <v>000134</v>
      </c>
      <c r="I38" s="7">
        <v>43584</v>
      </c>
      <c r="J38" s="8" t="str">
        <f>"000013"</f>
        <v>000013</v>
      </c>
      <c r="K38" s="7">
        <v>43585</v>
      </c>
      <c r="L38" s="8" t="str">
        <f>"000013"</f>
        <v>000013</v>
      </c>
      <c r="M38" s="7">
        <v>43585</v>
      </c>
      <c r="N38" s="8">
        <v>17</v>
      </c>
      <c r="O38" s="8" t="str">
        <f>"002703"</f>
        <v>002703</v>
      </c>
      <c r="P38" s="7">
        <v>43629</v>
      </c>
      <c r="Q38" s="10">
        <v>5.14588</v>
      </c>
      <c r="R38" s="10">
        <v>0.26899000000000001</v>
      </c>
      <c r="S38" s="10">
        <v>4.8768900000000004</v>
      </c>
      <c r="T38" s="8">
        <v>87</v>
      </c>
      <c r="U38" s="7">
        <v>43633</v>
      </c>
      <c r="V38" s="8">
        <v>9591028945</v>
      </c>
      <c r="W38" s="9" t="s">
        <v>97</v>
      </c>
      <c r="X38" s="8" t="s">
        <v>33</v>
      </c>
      <c r="Y38" s="9" t="s">
        <v>34</v>
      </c>
      <c r="Z38" s="8" t="s">
        <v>35</v>
      </c>
      <c r="AA38" s="9" t="s">
        <v>36</v>
      </c>
      <c r="AB38" s="10">
        <v>5.1458799999999999E-2</v>
      </c>
    </row>
    <row r="39" spans="1:28" s="4" customFormat="1" ht="13" x14ac:dyDescent="0.3">
      <c r="A39" s="5">
        <v>298</v>
      </c>
      <c r="B39" s="6" t="s">
        <v>37</v>
      </c>
      <c r="C39" s="7">
        <v>43636</v>
      </c>
      <c r="D39" s="8">
        <v>7</v>
      </c>
      <c r="E39" s="9" t="s">
        <v>54</v>
      </c>
      <c r="F39" s="8" t="s">
        <v>98</v>
      </c>
      <c r="G39" s="9" t="s">
        <v>99</v>
      </c>
      <c r="H39" s="8" t="str">
        <f>"000249"</f>
        <v>000249</v>
      </c>
      <c r="I39" s="7">
        <v>42824</v>
      </c>
      <c r="J39" s="8" t="str">
        <f>"000027"</f>
        <v>000027</v>
      </c>
      <c r="K39" s="7">
        <v>43092</v>
      </c>
      <c r="L39" s="8" t="str">
        <f>"000075"</f>
        <v>000075</v>
      </c>
      <c r="M39" s="7">
        <v>43097</v>
      </c>
      <c r="N39" s="8">
        <v>17</v>
      </c>
      <c r="O39" s="8" t="str">
        <f>"002801"</f>
        <v>002801</v>
      </c>
      <c r="P39" s="7">
        <v>43633</v>
      </c>
      <c r="Q39" s="10">
        <v>23.485040000000001</v>
      </c>
      <c r="R39" s="10">
        <v>0.99872000000000005</v>
      </c>
      <c r="S39" s="10">
        <v>22.486319999999999</v>
      </c>
      <c r="T39" s="8">
        <v>89</v>
      </c>
      <c r="U39" s="7">
        <v>43636</v>
      </c>
      <c r="V39" s="8">
        <v>9448083246</v>
      </c>
      <c r="W39" s="9" t="s">
        <v>100</v>
      </c>
      <c r="X39" s="8" t="s">
        <v>38</v>
      </c>
      <c r="Y39" s="9" t="s">
        <v>39</v>
      </c>
      <c r="Z39" s="8" t="s">
        <v>58</v>
      </c>
      <c r="AA39" s="9" t="s">
        <v>59</v>
      </c>
      <c r="AB39" s="10">
        <v>0.23485040000000001</v>
      </c>
    </row>
    <row r="40" spans="1:28" s="4" customFormat="1" ht="13" x14ac:dyDescent="0.3">
      <c r="A40" s="5">
        <v>299</v>
      </c>
      <c r="B40" s="6" t="s">
        <v>37</v>
      </c>
      <c r="C40" s="7">
        <v>43644</v>
      </c>
      <c r="D40" s="8">
        <v>7</v>
      </c>
      <c r="E40" s="9" t="s">
        <v>54</v>
      </c>
      <c r="F40" s="8" t="s">
        <v>101</v>
      </c>
      <c r="G40" s="9" t="s">
        <v>102</v>
      </c>
      <c r="H40" s="8" t="str">
        <f>"000097"</f>
        <v>000097</v>
      </c>
      <c r="I40" s="7">
        <v>43164</v>
      </c>
      <c r="J40" s="8" t="str">
        <f>"000068"</f>
        <v>000068</v>
      </c>
      <c r="K40" s="7">
        <v>43493</v>
      </c>
      <c r="L40" s="8" t="str">
        <f>"000204"</f>
        <v>000204</v>
      </c>
      <c r="M40" s="7">
        <v>43496</v>
      </c>
      <c r="N40" s="8">
        <v>18</v>
      </c>
      <c r="O40" s="8" t="str">
        <f>"003100"</f>
        <v>003100</v>
      </c>
      <c r="P40" s="7">
        <v>43640</v>
      </c>
      <c r="Q40" s="10">
        <v>39.933909999999997</v>
      </c>
      <c r="R40" s="10">
        <v>14.933909999999999</v>
      </c>
      <c r="S40" s="10">
        <v>25</v>
      </c>
      <c r="T40" s="8">
        <v>94</v>
      </c>
      <c r="U40" s="7">
        <v>43644</v>
      </c>
      <c r="V40" s="8">
        <v>9449863065</v>
      </c>
      <c r="W40" s="9" t="s">
        <v>103</v>
      </c>
      <c r="X40" s="8" t="s">
        <v>104</v>
      </c>
      <c r="Y40" s="9" t="s">
        <v>105</v>
      </c>
      <c r="Z40" s="8" t="s">
        <v>58</v>
      </c>
      <c r="AA40" s="9" t="s">
        <v>59</v>
      </c>
      <c r="AB40" s="10">
        <v>0.39933909999999995</v>
      </c>
    </row>
    <row r="41" spans="1:28" s="4" customFormat="1" ht="13" x14ac:dyDescent="0.3">
      <c r="A41" s="5">
        <v>300</v>
      </c>
      <c r="B41" s="6" t="s">
        <v>162</v>
      </c>
      <c r="C41" s="7">
        <v>43648</v>
      </c>
      <c r="D41" s="8">
        <v>7</v>
      </c>
      <c r="E41" s="9" t="s">
        <v>54</v>
      </c>
      <c r="F41" s="8" t="s">
        <v>163</v>
      </c>
      <c r="G41" s="11" t="s">
        <v>164</v>
      </c>
      <c r="H41" s="8" t="str">
        <f>"000034"</f>
        <v>000034</v>
      </c>
      <c r="I41" s="7">
        <v>43182</v>
      </c>
      <c r="J41" s="8" t="str">
        <f>"000017"</f>
        <v>000017</v>
      </c>
      <c r="K41" s="7">
        <v>43224</v>
      </c>
      <c r="L41" s="8" t="str">
        <f>"000017"</f>
        <v>000017</v>
      </c>
      <c r="M41" s="7">
        <v>43224</v>
      </c>
      <c r="N41" s="8">
        <v>16</v>
      </c>
      <c r="O41" s="8" t="str">
        <f>"002926"</f>
        <v>002926</v>
      </c>
      <c r="P41" s="7">
        <v>43637</v>
      </c>
      <c r="Q41" s="12">
        <v>0.99450000000000005</v>
      </c>
      <c r="R41" s="12">
        <v>9.0520000000000003E-2</v>
      </c>
      <c r="S41" s="12">
        <v>0.90398000000000001</v>
      </c>
      <c r="T41" s="8">
        <v>103</v>
      </c>
      <c r="U41" s="7">
        <v>43648</v>
      </c>
      <c r="V41" s="8">
        <v>9341347194</v>
      </c>
      <c r="W41" s="11" t="s">
        <v>165</v>
      </c>
      <c r="X41" s="8" t="s">
        <v>166</v>
      </c>
      <c r="Y41" s="11" t="s">
        <v>167</v>
      </c>
      <c r="Z41" s="8" t="s">
        <v>31</v>
      </c>
      <c r="AA41" s="11" t="s">
        <v>32</v>
      </c>
      <c r="AB41" s="12">
        <f t="shared" ref="AB41:AB49" si="1">Q41/100</f>
        <v>9.9450000000000007E-3</v>
      </c>
    </row>
    <row r="42" spans="1:28" s="4" customFormat="1" ht="13" x14ac:dyDescent="0.3">
      <c r="A42" s="5">
        <v>301</v>
      </c>
      <c r="B42" s="6" t="s">
        <v>162</v>
      </c>
      <c r="C42" s="7">
        <v>43669</v>
      </c>
      <c r="D42" s="8">
        <v>7</v>
      </c>
      <c r="E42" s="9" t="s">
        <v>54</v>
      </c>
      <c r="F42" s="8" t="s">
        <v>168</v>
      </c>
      <c r="G42" s="11" t="s">
        <v>169</v>
      </c>
      <c r="H42" s="8" t="str">
        <f>"000572"</f>
        <v>000572</v>
      </c>
      <c r="I42" s="7">
        <v>41701</v>
      </c>
      <c r="J42" s="8" t="str">
        <f>"000214"</f>
        <v>000214</v>
      </c>
      <c r="K42" s="7">
        <v>41879</v>
      </c>
      <c r="L42" s="8" t="str">
        <f>"000317"</f>
        <v>000317</v>
      </c>
      <c r="M42" s="7">
        <v>41881</v>
      </c>
      <c r="N42" s="8">
        <v>14</v>
      </c>
      <c r="O42" s="8" t="str">
        <f>"003724"</f>
        <v>003724</v>
      </c>
      <c r="P42" s="7">
        <v>42567</v>
      </c>
      <c r="Q42" s="12">
        <v>1.8</v>
      </c>
      <c r="R42" s="12">
        <v>5.3999999999999999E-2</v>
      </c>
      <c r="S42" s="12">
        <v>1.746</v>
      </c>
      <c r="T42" s="8">
        <v>122</v>
      </c>
      <c r="U42" s="7">
        <v>43669</v>
      </c>
      <c r="V42" s="8">
        <v>8861075555</v>
      </c>
      <c r="W42" s="11" t="s">
        <v>170</v>
      </c>
      <c r="X42" s="8" t="s">
        <v>38</v>
      </c>
      <c r="Y42" s="11" t="s">
        <v>39</v>
      </c>
      <c r="Z42" s="8" t="s">
        <v>58</v>
      </c>
      <c r="AA42" s="11" t="s">
        <v>59</v>
      </c>
      <c r="AB42" s="12">
        <f t="shared" si="1"/>
        <v>1.8000000000000002E-2</v>
      </c>
    </row>
    <row r="43" spans="1:28" s="4" customFormat="1" ht="13" x14ac:dyDescent="0.3">
      <c r="A43" s="5">
        <v>302</v>
      </c>
      <c r="B43" s="6" t="s">
        <v>162</v>
      </c>
      <c r="C43" s="7">
        <v>43669</v>
      </c>
      <c r="D43" s="8">
        <v>7</v>
      </c>
      <c r="E43" s="9" t="s">
        <v>54</v>
      </c>
      <c r="F43" s="8" t="s">
        <v>171</v>
      </c>
      <c r="G43" s="11" t="s">
        <v>172</v>
      </c>
      <c r="H43" s="8" t="str">
        <f>"000252"</f>
        <v>000252</v>
      </c>
      <c r="I43" s="7">
        <v>42426</v>
      </c>
      <c r="J43" s="8" t="str">
        <f>"000039"</f>
        <v>000039</v>
      </c>
      <c r="K43" s="7">
        <v>43150</v>
      </c>
      <c r="L43" s="8" t="str">
        <f>"000115"</f>
        <v>000115</v>
      </c>
      <c r="M43" s="7">
        <v>43152</v>
      </c>
      <c r="N43" s="8">
        <v>16</v>
      </c>
      <c r="O43" s="8" t="str">
        <f>"003725"</f>
        <v>003725</v>
      </c>
      <c r="P43" s="7">
        <v>43664</v>
      </c>
      <c r="Q43" s="12">
        <v>19.47165</v>
      </c>
      <c r="R43" s="12">
        <v>0.70006999999999997</v>
      </c>
      <c r="S43" s="12">
        <v>18.77158</v>
      </c>
      <c r="T43" s="8">
        <v>122</v>
      </c>
      <c r="U43" s="7">
        <v>43669</v>
      </c>
      <c r="V43" s="8">
        <v>9448386587</v>
      </c>
      <c r="W43" s="11" t="s">
        <v>173</v>
      </c>
      <c r="X43" s="8" t="s">
        <v>41</v>
      </c>
      <c r="Y43" s="11" t="s">
        <v>42</v>
      </c>
      <c r="Z43" s="8" t="s">
        <v>58</v>
      </c>
      <c r="AA43" s="11" t="s">
        <v>59</v>
      </c>
      <c r="AB43" s="12">
        <f t="shared" si="1"/>
        <v>0.19471650000000001</v>
      </c>
    </row>
    <row r="44" spans="1:28" s="4" customFormat="1" ht="13" x14ac:dyDescent="0.3">
      <c r="A44" s="5">
        <v>303</v>
      </c>
      <c r="B44" s="6" t="s">
        <v>174</v>
      </c>
      <c r="C44" s="7">
        <v>43682</v>
      </c>
      <c r="D44" s="8">
        <v>7</v>
      </c>
      <c r="E44" s="9" t="s">
        <v>54</v>
      </c>
      <c r="F44" s="8" t="s">
        <v>175</v>
      </c>
      <c r="G44" s="11" t="s">
        <v>176</v>
      </c>
      <c r="H44" s="8" t="str">
        <f>"000159"</f>
        <v>000159</v>
      </c>
      <c r="I44" s="7">
        <v>43404</v>
      </c>
      <c r="J44" s="8" t="str">
        <f>"000020"</f>
        <v>000020</v>
      </c>
      <c r="K44" s="7">
        <v>43665</v>
      </c>
      <c r="L44" s="8" t="str">
        <f>"000062"</f>
        <v>000062</v>
      </c>
      <c r="M44" s="7">
        <v>43671</v>
      </c>
      <c r="N44" s="8">
        <v>18</v>
      </c>
      <c r="O44" s="8" t="str">
        <f>"004217"</f>
        <v>004217</v>
      </c>
      <c r="P44" s="7">
        <v>43679</v>
      </c>
      <c r="Q44" s="12">
        <v>45.438800000000001</v>
      </c>
      <c r="R44" s="12">
        <v>2.2010700000000001</v>
      </c>
      <c r="S44" s="12">
        <v>43.237729999999999</v>
      </c>
      <c r="T44" s="8">
        <v>143</v>
      </c>
      <c r="U44" s="7">
        <v>43682</v>
      </c>
      <c r="V44" s="8">
        <v>9972555000</v>
      </c>
      <c r="W44" s="11" t="s">
        <v>177</v>
      </c>
      <c r="X44" s="8" t="s">
        <v>178</v>
      </c>
      <c r="Y44" s="11" t="s">
        <v>179</v>
      </c>
      <c r="Z44" s="8" t="s">
        <v>58</v>
      </c>
      <c r="AA44" s="11" t="s">
        <v>59</v>
      </c>
      <c r="AB44" s="12">
        <f t="shared" si="1"/>
        <v>0.45438800000000001</v>
      </c>
    </row>
    <row r="45" spans="1:28" s="4" customFormat="1" ht="13" x14ac:dyDescent="0.3">
      <c r="A45" s="5">
        <v>304</v>
      </c>
      <c r="B45" s="6" t="s">
        <v>174</v>
      </c>
      <c r="C45" s="7">
        <v>43691</v>
      </c>
      <c r="D45" s="8">
        <v>7</v>
      </c>
      <c r="E45" s="9" t="s">
        <v>54</v>
      </c>
      <c r="F45" s="8" t="s">
        <v>180</v>
      </c>
      <c r="G45" s="11" t="s">
        <v>181</v>
      </c>
      <c r="H45" s="8" t="str">
        <f>"000101"</f>
        <v>000101</v>
      </c>
      <c r="I45" s="7">
        <v>43164</v>
      </c>
      <c r="J45" s="8" t="str">
        <f>"000069"</f>
        <v>000069</v>
      </c>
      <c r="K45" s="7">
        <v>43493</v>
      </c>
      <c r="L45" s="8" t="str">
        <f>"000202"</f>
        <v>000202</v>
      </c>
      <c r="M45" s="7">
        <v>43496</v>
      </c>
      <c r="N45" s="8">
        <v>18</v>
      </c>
      <c r="O45" s="8" t="str">
        <f>"004472"</f>
        <v>004472</v>
      </c>
      <c r="P45" s="7">
        <v>43691</v>
      </c>
      <c r="Q45" s="12">
        <v>39.831440000000001</v>
      </c>
      <c r="R45" s="12">
        <v>14.831440000000001</v>
      </c>
      <c r="S45" s="12">
        <v>25</v>
      </c>
      <c r="T45" s="8">
        <v>153</v>
      </c>
      <c r="U45" s="7">
        <v>43691</v>
      </c>
      <c r="V45" s="8">
        <v>9449863065</v>
      </c>
      <c r="W45" s="11" t="s">
        <v>103</v>
      </c>
      <c r="X45" s="8" t="s">
        <v>104</v>
      </c>
      <c r="Y45" s="11" t="s">
        <v>105</v>
      </c>
      <c r="Z45" s="8" t="s">
        <v>58</v>
      </c>
      <c r="AA45" s="11" t="s">
        <v>59</v>
      </c>
      <c r="AB45" s="12">
        <f t="shared" si="1"/>
        <v>0.39831440000000001</v>
      </c>
    </row>
    <row r="46" spans="1:28" s="4" customFormat="1" ht="13" x14ac:dyDescent="0.3">
      <c r="A46" s="5">
        <v>305</v>
      </c>
      <c r="B46" s="6" t="s">
        <v>182</v>
      </c>
      <c r="C46" s="7">
        <v>43717</v>
      </c>
      <c r="D46" s="8">
        <v>7</v>
      </c>
      <c r="E46" s="9" t="s">
        <v>54</v>
      </c>
      <c r="F46" s="8" t="s">
        <v>183</v>
      </c>
      <c r="G46" s="11" t="s">
        <v>184</v>
      </c>
      <c r="H46" s="8" t="str">
        <f>"000030"</f>
        <v>000030</v>
      </c>
      <c r="I46" s="7">
        <v>43490</v>
      </c>
      <c r="J46" s="8" t="str">
        <f>"000048"</f>
        <v>000048</v>
      </c>
      <c r="K46" s="7">
        <v>43666</v>
      </c>
      <c r="L46" s="8" t="str">
        <f>"000051"</f>
        <v>000051</v>
      </c>
      <c r="M46" s="7">
        <v>43666</v>
      </c>
      <c r="N46" s="8">
        <v>18</v>
      </c>
      <c r="O46" s="8" t="str">
        <f>"004791"</f>
        <v>004791</v>
      </c>
      <c r="P46" s="7">
        <v>43704</v>
      </c>
      <c r="Q46" s="12">
        <v>29.96434</v>
      </c>
      <c r="R46" s="12">
        <v>3.1566800000000002</v>
      </c>
      <c r="S46" s="12">
        <v>26.807659999999998</v>
      </c>
      <c r="T46" s="8">
        <v>178</v>
      </c>
      <c r="U46" s="7">
        <v>43717</v>
      </c>
      <c r="V46" s="8">
        <v>9449863064</v>
      </c>
      <c r="W46" s="11" t="s">
        <v>50</v>
      </c>
      <c r="X46" s="8" t="s">
        <v>185</v>
      </c>
      <c r="Y46" s="11" t="s">
        <v>186</v>
      </c>
      <c r="Z46" s="8" t="s">
        <v>35</v>
      </c>
      <c r="AA46" s="11" t="s">
        <v>36</v>
      </c>
      <c r="AB46" s="12">
        <f t="shared" si="1"/>
        <v>0.2996434</v>
      </c>
    </row>
    <row r="47" spans="1:28" s="4" customFormat="1" ht="13" x14ac:dyDescent="0.3">
      <c r="A47" s="5">
        <v>306</v>
      </c>
      <c r="B47" s="6" t="s">
        <v>182</v>
      </c>
      <c r="C47" s="7">
        <v>43717</v>
      </c>
      <c r="D47" s="8">
        <v>7</v>
      </c>
      <c r="E47" s="9" t="s">
        <v>54</v>
      </c>
      <c r="F47" s="8" t="s">
        <v>187</v>
      </c>
      <c r="G47" s="11" t="s">
        <v>188</v>
      </c>
      <c r="H47" s="8" t="str">
        <f>"000031"</f>
        <v>000031</v>
      </c>
      <c r="I47" s="7">
        <v>43490</v>
      </c>
      <c r="J47" s="8" t="str">
        <f>"000049"</f>
        <v>000049</v>
      </c>
      <c r="K47" s="7">
        <v>43666</v>
      </c>
      <c r="L47" s="8" t="str">
        <f>"000052"</f>
        <v>000052</v>
      </c>
      <c r="M47" s="7">
        <v>43666</v>
      </c>
      <c r="N47" s="8">
        <v>18</v>
      </c>
      <c r="O47" s="8" t="str">
        <f>"004792"</f>
        <v>004792</v>
      </c>
      <c r="P47" s="7">
        <v>43704</v>
      </c>
      <c r="Q47" s="12">
        <v>29.98762</v>
      </c>
      <c r="R47" s="12">
        <v>3.1675300000000002</v>
      </c>
      <c r="S47" s="12">
        <v>26.82009</v>
      </c>
      <c r="T47" s="8">
        <v>178</v>
      </c>
      <c r="U47" s="7">
        <v>43717</v>
      </c>
      <c r="V47" s="8">
        <v>9449863064</v>
      </c>
      <c r="W47" s="11" t="s">
        <v>50</v>
      </c>
      <c r="X47" s="8" t="s">
        <v>135</v>
      </c>
      <c r="Y47" s="11" t="s">
        <v>136</v>
      </c>
      <c r="Z47" s="8" t="s">
        <v>35</v>
      </c>
      <c r="AA47" s="11" t="s">
        <v>36</v>
      </c>
      <c r="AB47" s="12">
        <f t="shared" si="1"/>
        <v>0.29987619999999998</v>
      </c>
    </row>
    <row r="48" spans="1:28" s="4" customFormat="1" ht="13" x14ac:dyDescent="0.3">
      <c r="A48" s="5">
        <v>307</v>
      </c>
      <c r="B48" s="6" t="s">
        <v>182</v>
      </c>
      <c r="C48" s="7">
        <v>43726</v>
      </c>
      <c r="D48" s="8">
        <v>7</v>
      </c>
      <c r="E48" s="9" t="s">
        <v>54</v>
      </c>
      <c r="F48" s="8" t="s">
        <v>189</v>
      </c>
      <c r="G48" s="11" t="s">
        <v>190</v>
      </c>
      <c r="H48" s="8" t="str">
        <f>"000028"</f>
        <v>000028</v>
      </c>
      <c r="I48" s="7">
        <v>43490</v>
      </c>
      <c r="J48" s="8" t="str">
        <f>"000079"</f>
        <v>000079</v>
      </c>
      <c r="K48" s="7">
        <v>43700</v>
      </c>
      <c r="L48" s="8" t="str">
        <f>"000081"</f>
        <v>000081</v>
      </c>
      <c r="M48" s="7">
        <v>43700</v>
      </c>
      <c r="N48" s="8">
        <v>18</v>
      </c>
      <c r="O48" s="8" t="str">
        <f>"005158"</f>
        <v>005158</v>
      </c>
      <c r="P48" s="7">
        <v>43726</v>
      </c>
      <c r="Q48" s="12">
        <v>44.979590000000002</v>
      </c>
      <c r="R48" s="12">
        <v>2.5604</v>
      </c>
      <c r="S48" s="12">
        <v>42.41919</v>
      </c>
      <c r="T48" s="8">
        <v>192</v>
      </c>
      <c r="U48" s="7">
        <v>43726</v>
      </c>
      <c r="V48" s="8">
        <v>9449863064</v>
      </c>
      <c r="W48" s="11" t="s">
        <v>50</v>
      </c>
      <c r="X48" s="8" t="s">
        <v>191</v>
      </c>
      <c r="Y48" s="11" t="s">
        <v>192</v>
      </c>
      <c r="Z48" s="8" t="s">
        <v>35</v>
      </c>
      <c r="AA48" s="11" t="s">
        <v>36</v>
      </c>
      <c r="AB48" s="12">
        <f t="shared" si="1"/>
        <v>0.44979590000000003</v>
      </c>
    </row>
    <row r="49" spans="1:28" s="4" customFormat="1" ht="13" x14ac:dyDescent="0.3">
      <c r="A49" s="5">
        <v>308</v>
      </c>
      <c r="B49" s="6" t="s">
        <v>182</v>
      </c>
      <c r="C49" s="7">
        <v>43734</v>
      </c>
      <c r="D49" s="8">
        <v>7</v>
      </c>
      <c r="E49" s="9" t="s">
        <v>54</v>
      </c>
      <c r="F49" s="8" t="s">
        <v>69</v>
      </c>
      <c r="G49" s="11" t="s">
        <v>70</v>
      </c>
      <c r="H49" s="8" t="str">
        <f>"000262"</f>
        <v>000262</v>
      </c>
      <c r="I49" s="7">
        <v>42825</v>
      </c>
      <c r="J49" s="8" t="str">
        <f>"000065"</f>
        <v>000065</v>
      </c>
      <c r="K49" s="7">
        <v>43490</v>
      </c>
      <c r="L49" s="8" t="str">
        <f>"000200"</f>
        <v>000200</v>
      </c>
      <c r="M49" s="7">
        <v>43495</v>
      </c>
      <c r="N49" s="8">
        <v>16</v>
      </c>
      <c r="O49" s="8" t="str">
        <f>"000549"</f>
        <v>000549</v>
      </c>
      <c r="P49" s="7">
        <v>43569</v>
      </c>
      <c r="Q49" s="12">
        <v>30.83764</v>
      </c>
      <c r="R49" s="12">
        <v>1.8577999999999999</v>
      </c>
      <c r="S49" s="12">
        <v>28.979839999999999</v>
      </c>
      <c r="T49" s="8">
        <v>202</v>
      </c>
      <c r="U49" s="7">
        <v>43734</v>
      </c>
      <c r="V49" s="8">
        <v>9845736688</v>
      </c>
      <c r="W49" s="11" t="s">
        <v>193</v>
      </c>
      <c r="X49" s="8" t="s">
        <v>46</v>
      </c>
      <c r="Y49" s="11" t="s">
        <v>47</v>
      </c>
      <c r="Z49" s="8" t="s">
        <v>58</v>
      </c>
      <c r="AA49" s="11" t="s">
        <v>59</v>
      </c>
      <c r="AB49" s="12">
        <f t="shared" si="1"/>
        <v>0.30837639999999999</v>
      </c>
    </row>
    <row r="50" spans="1:28" s="4" customFormat="1" ht="13" x14ac:dyDescent="0.3">
      <c r="A50" s="5">
        <v>309</v>
      </c>
      <c r="B50" s="6" t="s">
        <v>194</v>
      </c>
      <c r="C50" s="7">
        <v>43748</v>
      </c>
      <c r="D50" s="5">
        <v>7</v>
      </c>
      <c r="E50" s="9" t="s">
        <v>54</v>
      </c>
      <c r="F50" s="8" t="s">
        <v>67</v>
      </c>
      <c r="G50" s="9" t="s">
        <v>68</v>
      </c>
      <c r="H50" s="8" t="str">
        <f>"000026"</f>
        <v>000026</v>
      </c>
      <c r="I50" s="7">
        <v>42716</v>
      </c>
      <c r="J50" s="8" t="str">
        <f>"000039"</f>
        <v>000039</v>
      </c>
      <c r="K50" s="7">
        <v>43124</v>
      </c>
      <c r="L50" s="8" t="str">
        <f>"000039"</f>
        <v>000039</v>
      </c>
      <c r="M50" s="7">
        <v>43124</v>
      </c>
      <c r="N50" s="8">
        <v>16</v>
      </c>
      <c r="O50" s="8" t="str">
        <f>"003945"</f>
        <v>003945</v>
      </c>
      <c r="P50" s="7">
        <v>43299</v>
      </c>
      <c r="Q50" s="10">
        <v>6.0412499999999998</v>
      </c>
      <c r="R50" s="10">
        <v>0.83464000000000005</v>
      </c>
      <c r="S50" s="10">
        <v>5.2066100000000004</v>
      </c>
      <c r="T50" s="8">
        <v>13</v>
      </c>
      <c r="U50" s="7">
        <v>43748</v>
      </c>
      <c r="V50" s="8">
        <v>9620096296</v>
      </c>
      <c r="W50" s="9" t="s">
        <v>45</v>
      </c>
      <c r="X50" s="8" t="s">
        <v>29</v>
      </c>
      <c r="Y50" s="9" t="s">
        <v>30</v>
      </c>
      <c r="Z50" s="8" t="s">
        <v>31</v>
      </c>
      <c r="AA50" s="9" t="s">
        <v>32</v>
      </c>
      <c r="AB50" s="10">
        <v>6.0412500000000001E-2</v>
      </c>
    </row>
    <row r="51" spans="1:28" s="4" customFormat="1" ht="13" x14ac:dyDescent="0.3">
      <c r="A51" s="5">
        <v>310</v>
      </c>
      <c r="B51" s="6" t="s">
        <v>194</v>
      </c>
      <c r="C51" s="7">
        <v>43749</v>
      </c>
      <c r="D51" s="5">
        <v>7</v>
      </c>
      <c r="E51" s="9" t="s">
        <v>54</v>
      </c>
      <c r="F51" s="8" t="s">
        <v>195</v>
      </c>
      <c r="G51" s="9" t="s">
        <v>196</v>
      </c>
      <c r="H51" s="8" t="str">
        <f>"000019"</f>
        <v>000019</v>
      </c>
      <c r="I51" s="7">
        <v>43486</v>
      </c>
      <c r="J51" s="8" t="str">
        <f>"000047"</f>
        <v>000047</v>
      </c>
      <c r="K51" s="7">
        <v>43662</v>
      </c>
      <c r="L51" s="8" t="str">
        <f>"000050"</f>
        <v>000050</v>
      </c>
      <c r="M51" s="7">
        <v>43662</v>
      </c>
      <c r="N51" s="8">
        <v>15</v>
      </c>
      <c r="O51" s="8" t="str">
        <f>"005729"</f>
        <v>005729</v>
      </c>
      <c r="P51" s="7">
        <v>43749</v>
      </c>
      <c r="Q51" s="10">
        <v>120.93098000000001</v>
      </c>
      <c r="R51" s="10">
        <v>5.0636299999999999</v>
      </c>
      <c r="S51" s="10">
        <v>115.86735</v>
      </c>
      <c r="T51" s="8">
        <v>13</v>
      </c>
      <c r="U51" s="7">
        <v>43749</v>
      </c>
      <c r="V51" s="8">
        <v>9845171912</v>
      </c>
      <c r="W51" s="9" t="s">
        <v>197</v>
      </c>
      <c r="X51" s="8" t="s">
        <v>198</v>
      </c>
      <c r="Y51" s="9" t="s">
        <v>199</v>
      </c>
      <c r="Z51" s="8" t="s">
        <v>35</v>
      </c>
      <c r="AA51" s="9" t="s">
        <v>36</v>
      </c>
      <c r="AB51" s="10">
        <v>1.2093098</v>
      </c>
    </row>
    <row r="52" spans="1:28" s="4" customFormat="1" ht="13" x14ac:dyDescent="0.3">
      <c r="A52" s="5">
        <v>311</v>
      </c>
      <c r="B52" s="6" t="s">
        <v>194</v>
      </c>
      <c r="C52" s="7">
        <v>43761</v>
      </c>
      <c r="D52" s="5">
        <v>7</v>
      </c>
      <c r="E52" s="9" t="s">
        <v>54</v>
      </c>
      <c r="F52" s="8" t="s">
        <v>200</v>
      </c>
      <c r="G52" s="9" t="s">
        <v>201</v>
      </c>
      <c r="H52" s="8" t="str">
        <f>"000071"</f>
        <v>000071</v>
      </c>
      <c r="I52" s="7">
        <v>43307</v>
      </c>
      <c r="J52" s="8" t="str">
        <f>"000039"</f>
        <v>000039</v>
      </c>
      <c r="K52" s="7">
        <v>43732</v>
      </c>
      <c r="L52" s="8" t="str">
        <f>"000104"</f>
        <v>000104</v>
      </c>
      <c r="M52" s="7">
        <v>43732</v>
      </c>
      <c r="N52" s="8">
        <v>18</v>
      </c>
      <c r="O52" s="8" t="str">
        <f>"005823"</f>
        <v>005823</v>
      </c>
      <c r="P52" s="7">
        <v>43755</v>
      </c>
      <c r="Q52" s="10">
        <v>62.953899999999997</v>
      </c>
      <c r="R52" s="10">
        <v>3.4971800000000002</v>
      </c>
      <c r="S52" s="10">
        <v>59.456719999999997</v>
      </c>
      <c r="T52" s="8">
        <v>13</v>
      </c>
      <c r="U52" s="7">
        <v>43761</v>
      </c>
      <c r="V52" s="8">
        <v>9901908019</v>
      </c>
      <c r="W52" s="9" t="s">
        <v>202</v>
      </c>
      <c r="X52" s="8" t="s">
        <v>191</v>
      </c>
      <c r="Y52" s="9" t="s">
        <v>192</v>
      </c>
      <c r="Z52" s="8" t="s">
        <v>58</v>
      </c>
      <c r="AA52" s="9" t="s">
        <v>59</v>
      </c>
      <c r="AB52" s="10">
        <v>0.62953899999999996</v>
      </c>
    </row>
    <row r="53" spans="1:28" s="4" customFormat="1" ht="13" x14ac:dyDescent="0.3">
      <c r="A53" s="5">
        <v>312</v>
      </c>
      <c r="B53" s="6" t="s">
        <v>194</v>
      </c>
      <c r="C53" s="7">
        <v>43761</v>
      </c>
      <c r="D53" s="5">
        <v>7</v>
      </c>
      <c r="E53" s="9" t="s">
        <v>54</v>
      </c>
      <c r="F53" s="8" t="s">
        <v>203</v>
      </c>
      <c r="G53" s="9" t="s">
        <v>204</v>
      </c>
      <c r="H53" s="8" t="str">
        <f>"000070"</f>
        <v>000070</v>
      </c>
      <c r="I53" s="7">
        <v>43307</v>
      </c>
      <c r="J53" s="8" t="str">
        <f>"000041"</f>
        <v>000041</v>
      </c>
      <c r="K53" s="7">
        <v>43732</v>
      </c>
      <c r="L53" s="8" t="str">
        <f>"000107"</f>
        <v>000107</v>
      </c>
      <c r="M53" s="7">
        <v>43732</v>
      </c>
      <c r="N53" s="8">
        <v>18</v>
      </c>
      <c r="O53" s="8" t="str">
        <f>"005824"</f>
        <v>005824</v>
      </c>
      <c r="P53" s="7">
        <v>43755</v>
      </c>
      <c r="Q53" s="10">
        <v>17.575700000000001</v>
      </c>
      <c r="R53" s="10">
        <v>0.81096000000000001</v>
      </c>
      <c r="S53" s="10">
        <v>16.76474</v>
      </c>
      <c r="T53" s="8">
        <v>13</v>
      </c>
      <c r="U53" s="7">
        <v>43761</v>
      </c>
      <c r="V53" s="8">
        <v>9886213563</v>
      </c>
      <c r="W53" s="9" t="s">
        <v>139</v>
      </c>
      <c r="X53" s="8" t="s">
        <v>117</v>
      </c>
      <c r="Y53" s="9" t="s">
        <v>118</v>
      </c>
      <c r="Z53" s="8" t="s">
        <v>58</v>
      </c>
      <c r="AA53" s="9" t="s">
        <v>59</v>
      </c>
      <c r="AB53" s="10">
        <v>0.17575700000000002</v>
      </c>
    </row>
    <row r="54" spans="1:28" s="4" customFormat="1" ht="13" x14ac:dyDescent="0.3">
      <c r="A54" s="5">
        <v>313</v>
      </c>
      <c r="B54" s="6" t="s">
        <v>194</v>
      </c>
      <c r="C54" s="7">
        <v>43761</v>
      </c>
      <c r="D54" s="5">
        <v>7</v>
      </c>
      <c r="E54" s="9" t="s">
        <v>54</v>
      </c>
      <c r="F54" s="8" t="s">
        <v>205</v>
      </c>
      <c r="G54" s="9" t="s">
        <v>206</v>
      </c>
      <c r="H54" s="8" t="str">
        <f>"000247"</f>
        <v>000247</v>
      </c>
      <c r="I54" s="7">
        <v>43524</v>
      </c>
      <c r="J54" s="8" t="str">
        <f>"000040"</f>
        <v>000040</v>
      </c>
      <c r="K54" s="7">
        <v>43732</v>
      </c>
      <c r="L54" s="8" t="str">
        <f>"000105"</f>
        <v>000105</v>
      </c>
      <c r="M54" s="7">
        <v>43732</v>
      </c>
      <c r="N54" s="8">
        <v>18</v>
      </c>
      <c r="O54" s="8" t="str">
        <f>"005825"</f>
        <v>005825</v>
      </c>
      <c r="P54" s="7">
        <v>43755</v>
      </c>
      <c r="Q54" s="10">
        <v>19.439440000000001</v>
      </c>
      <c r="R54" s="10">
        <v>2.0829399999999998</v>
      </c>
      <c r="S54" s="10">
        <v>17.3565</v>
      </c>
      <c r="T54" s="8">
        <v>13</v>
      </c>
      <c r="U54" s="7">
        <v>43761</v>
      </c>
      <c r="V54" s="8">
        <v>9342471293</v>
      </c>
      <c r="W54" s="9" t="s">
        <v>49</v>
      </c>
      <c r="X54" s="8" t="s">
        <v>142</v>
      </c>
      <c r="Y54" s="9" t="s">
        <v>143</v>
      </c>
      <c r="Z54" s="8" t="s">
        <v>58</v>
      </c>
      <c r="AA54" s="9" t="s">
        <v>59</v>
      </c>
      <c r="AB54" s="10">
        <v>0.19439440000000002</v>
      </c>
    </row>
    <row r="55" spans="1:28" s="4" customFormat="1" ht="13" x14ac:dyDescent="0.3">
      <c r="A55" s="5">
        <v>314</v>
      </c>
      <c r="B55" s="6" t="s">
        <v>194</v>
      </c>
      <c r="C55" s="7">
        <v>43761</v>
      </c>
      <c r="D55" s="5">
        <v>7</v>
      </c>
      <c r="E55" s="9" t="s">
        <v>54</v>
      </c>
      <c r="F55" s="8" t="s">
        <v>207</v>
      </c>
      <c r="G55" s="9" t="s">
        <v>208</v>
      </c>
      <c r="H55" s="8" t="str">
        <f>"000245"</f>
        <v>000245</v>
      </c>
      <c r="I55" s="7">
        <v>43524</v>
      </c>
      <c r="J55" s="8" t="str">
        <f>"000042"</f>
        <v>000042</v>
      </c>
      <c r="K55" s="7">
        <v>43732</v>
      </c>
      <c r="L55" s="8" t="str">
        <f>"000106"</f>
        <v>000106</v>
      </c>
      <c r="M55" s="7">
        <v>43732</v>
      </c>
      <c r="N55" s="8">
        <v>18</v>
      </c>
      <c r="O55" s="8" t="str">
        <f>"005826"</f>
        <v>005826</v>
      </c>
      <c r="P55" s="7">
        <v>43755</v>
      </c>
      <c r="Q55" s="10">
        <v>9.9440000000000008</v>
      </c>
      <c r="R55" s="10">
        <v>0.99807999999999997</v>
      </c>
      <c r="S55" s="10">
        <v>8.9459199999999992</v>
      </c>
      <c r="T55" s="8">
        <v>13</v>
      </c>
      <c r="U55" s="7">
        <v>43761</v>
      </c>
      <c r="V55" s="8">
        <v>9342471293</v>
      </c>
      <c r="W55" s="9" t="s">
        <v>49</v>
      </c>
      <c r="X55" s="8" t="s">
        <v>191</v>
      </c>
      <c r="Y55" s="9" t="s">
        <v>192</v>
      </c>
      <c r="Z55" s="8" t="s">
        <v>58</v>
      </c>
      <c r="AA55" s="9" t="s">
        <v>59</v>
      </c>
      <c r="AB55" s="10">
        <v>9.9440000000000014E-2</v>
      </c>
    </row>
    <row r="56" spans="1:28" s="4" customFormat="1" ht="13" x14ac:dyDescent="0.3">
      <c r="A56" s="5">
        <v>315</v>
      </c>
      <c r="B56" s="6" t="s">
        <v>194</v>
      </c>
      <c r="C56" s="7">
        <v>43766</v>
      </c>
      <c r="D56" s="5">
        <v>7</v>
      </c>
      <c r="E56" s="9" t="s">
        <v>54</v>
      </c>
      <c r="F56" s="8" t="s">
        <v>209</v>
      </c>
      <c r="G56" s="9" t="s">
        <v>210</v>
      </c>
      <c r="H56" s="8" t="str">
        <f>"000143"</f>
        <v>000143</v>
      </c>
      <c r="I56" s="7">
        <v>43306</v>
      </c>
      <c r="J56" s="8" t="str">
        <f>"000066"</f>
        <v>000066</v>
      </c>
      <c r="K56" s="7">
        <v>43306</v>
      </c>
      <c r="L56" s="8" t="str">
        <f>"000066"</f>
        <v>000066</v>
      </c>
      <c r="M56" s="7">
        <v>43306</v>
      </c>
      <c r="N56" s="8">
        <v>18</v>
      </c>
      <c r="O56" s="8" t="str">
        <f>"005949"</f>
        <v>005949</v>
      </c>
      <c r="P56" s="7">
        <v>43763</v>
      </c>
      <c r="Q56" s="10">
        <v>20.792179999999998</v>
      </c>
      <c r="R56" s="10">
        <v>0.48444999999999999</v>
      </c>
      <c r="S56" s="10">
        <v>20.307729999999999</v>
      </c>
      <c r="T56" s="8">
        <v>13</v>
      </c>
      <c r="U56" s="7">
        <v>43766</v>
      </c>
      <c r="V56" s="8">
        <v>9019996726</v>
      </c>
      <c r="W56" s="9" t="s">
        <v>211</v>
      </c>
      <c r="X56" s="8" t="s">
        <v>212</v>
      </c>
      <c r="Y56" s="9" t="s">
        <v>213</v>
      </c>
      <c r="Z56" s="8" t="s">
        <v>35</v>
      </c>
      <c r="AA56" s="9" t="s">
        <v>36</v>
      </c>
      <c r="AB56" s="10">
        <v>0.20792179999999999</v>
      </c>
    </row>
    <row r="57" spans="1:28" s="4" customFormat="1" ht="13" x14ac:dyDescent="0.3">
      <c r="A57" s="5">
        <v>316</v>
      </c>
      <c r="B57" s="6" t="s">
        <v>194</v>
      </c>
      <c r="C57" s="7">
        <v>43769</v>
      </c>
      <c r="D57" s="5">
        <v>7</v>
      </c>
      <c r="E57" s="9" t="s">
        <v>54</v>
      </c>
      <c r="F57" s="8" t="s">
        <v>75</v>
      </c>
      <c r="G57" s="9" t="s">
        <v>76</v>
      </c>
      <c r="H57" s="8" t="str">
        <f>"000114"</f>
        <v>000114</v>
      </c>
      <c r="I57" s="7">
        <v>43179</v>
      </c>
      <c r="J57" s="8" t="str">
        <f>"000064"</f>
        <v>000064</v>
      </c>
      <c r="K57" s="7">
        <v>43488</v>
      </c>
      <c r="L57" s="8" t="str">
        <f>"000193"</f>
        <v>000193</v>
      </c>
      <c r="M57" s="7">
        <v>43488</v>
      </c>
      <c r="N57" s="8">
        <v>18</v>
      </c>
      <c r="O57" s="8" t="str">
        <f>"009107"</f>
        <v>009107</v>
      </c>
      <c r="P57" s="7">
        <v>43502</v>
      </c>
      <c r="Q57" s="10">
        <v>232.86442</v>
      </c>
      <c r="R57" s="10">
        <v>13.784090000000001</v>
      </c>
      <c r="S57" s="10">
        <v>219.08033</v>
      </c>
      <c r="T57" s="8">
        <v>13</v>
      </c>
      <c r="U57" s="7">
        <v>43769</v>
      </c>
      <c r="V57" s="8">
        <v>9945655299</v>
      </c>
      <c r="W57" s="9" t="s">
        <v>51</v>
      </c>
      <c r="X57" s="8" t="s">
        <v>33</v>
      </c>
      <c r="Y57" s="9" t="s">
        <v>34</v>
      </c>
      <c r="Z57" s="8" t="s">
        <v>58</v>
      </c>
      <c r="AA57" s="9" t="s">
        <v>59</v>
      </c>
      <c r="AB57" s="10">
        <v>2.3286441999999998</v>
      </c>
    </row>
    <row r="58" spans="1:28" s="4" customFormat="1" ht="13" x14ac:dyDescent="0.3">
      <c r="A58" s="5">
        <v>317</v>
      </c>
      <c r="B58" s="6" t="s">
        <v>214</v>
      </c>
      <c r="C58" s="7">
        <v>43790</v>
      </c>
      <c r="D58" s="5">
        <v>7</v>
      </c>
      <c r="E58" s="9" t="s">
        <v>54</v>
      </c>
      <c r="F58" s="8" t="s">
        <v>215</v>
      </c>
      <c r="G58" s="9" t="s">
        <v>216</v>
      </c>
      <c r="H58" s="8" t="str">
        <f>"000009"</f>
        <v>000009</v>
      </c>
      <c r="I58" s="7">
        <v>43589</v>
      </c>
      <c r="J58" s="8" t="str">
        <f>"000052"</f>
        <v>000052</v>
      </c>
      <c r="K58" s="7">
        <v>43750</v>
      </c>
      <c r="L58" s="8" t="str">
        <f>"000132"</f>
        <v>000132</v>
      </c>
      <c r="M58" s="7">
        <v>43753</v>
      </c>
      <c r="N58" s="8">
        <v>19</v>
      </c>
      <c r="O58" s="8" t="str">
        <f>"006195"</f>
        <v>006195</v>
      </c>
      <c r="P58" s="7">
        <v>43781</v>
      </c>
      <c r="Q58" s="10">
        <v>14.12</v>
      </c>
      <c r="R58" s="10">
        <v>1.3463400000000001</v>
      </c>
      <c r="S58" s="10">
        <v>12.77366</v>
      </c>
      <c r="T58" s="8">
        <v>13</v>
      </c>
      <c r="U58" s="7">
        <v>43790</v>
      </c>
      <c r="V58" s="8">
        <v>8497071999</v>
      </c>
      <c r="W58" s="9" t="s">
        <v>217</v>
      </c>
      <c r="X58" s="8" t="s">
        <v>185</v>
      </c>
      <c r="Y58" s="9" t="s">
        <v>186</v>
      </c>
      <c r="Z58" s="8" t="s">
        <v>58</v>
      </c>
      <c r="AA58" s="9" t="s">
        <v>59</v>
      </c>
      <c r="AB58" s="10">
        <v>0.14119999999999999</v>
      </c>
    </row>
    <row r="59" spans="1:28" s="4" customFormat="1" ht="13" x14ac:dyDescent="0.3">
      <c r="A59" s="5">
        <v>318</v>
      </c>
      <c r="B59" s="6" t="s">
        <v>214</v>
      </c>
      <c r="C59" s="7">
        <v>43798</v>
      </c>
      <c r="D59" s="5">
        <v>7</v>
      </c>
      <c r="E59" s="9" t="s">
        <v>54</v>
      </c>
      <c r="F59" s="8" t="s">
        <v>218</v>
      </c>
      <c r="G59" s="9" t="s">
        <v>219</v>
      </c>
      <c r="H59" s="8" t="str">
        <f>"000043"</f>
        <v>000043</v>
      </c>
      <c r="I59" s="7">
        <v>43654</v>
      </c>
      <c r="J59" s="8" t="str">
        <f>"000064"</f>
        <v>000064</v>
      </c>
      <c r="K59" s="7">
        <v>43774</v>
      </c>
      <c r="L59" s="8" t="str">
        <f>"000159"</f>
        <v>000159</v>
      </c>
      <c r="M59" s="7">
        <v>43774</v>
      </c>
      <c r="N59" s="8">
        <v>19</v>
      </c>
      <c r="O59" s="8" t="str">
        <f>"006279"</f>
        <v>006279</v>
      </c>
      <c r="P59" s="7">
        <v>43787</v>
      </c>
      <c r="Q59" s="10">
        <v>69.933999999999997</v>
      </c>
      <c r="R59" s="10">
        <v>7.1782199999999996</v>
      </c>
      <c r="S59" s="10">
        <v>62.755780000000001</v>
      </c>
      <c r="T59" s="8">
        <v>13</v>
      </c>
      <c r="U59" s="7">
        <v>43798</v>
      </c>
      <c r="V59" s="8">
        <v>9342471293</v>
      </c>
      <c r="W59" s="9" t="s">
        <v>49</v>
      </c>
      <c r="X59" s="8" t="s">
        <v>178</v>
      </c>
      <c r="Y59" s="9" t="s">
        <v>179</v>
      </c>
      <c r="Z59" s="8" t="s">
        <v>58</v>
      </c>
      <c r="AA59" s="9" t="s">
        <v>59</v>
      </c>
      <c r="AB59" s="10">
        <v>0.69933999999999996</v>
      </c>
    </row>
    <row r="60" spans="1:28" s="4" customFormat="1" ht="13" x14ac:dyDescent="0.3">
      <c r="A60" s="5">
        <v>319</v>
      </c>
      <c r="B60" s="6" t="s">
        <v>214</v>
      </c>
      <c r="C60" s="7">
        <v>43798</v>
      </c>
      <c r="D60" s="5">
        <v>7</v>
      </c>
      <c r="E60" s="9" t="s">
        <v>54</v>
      </c>
      <c r="F60" s="8" t="s">
        <v>220</v>
      </c>
      <c r="G60" s="9" t="s">
        <v>221</v>
      </c>
      <c r="H60" s="8" t="str">
        <f>"000029"</f>
        <v>000029</v>
      </c>
      <c r="I60" s="7">
        <v>43631</v>
      </c>
      <c r="J60" s="8" t="str">
        <f>"000066"</f>
        <v>000066</v>
      </c>
      <c r="K60" s="7">
        <v>43774</v>
      </c>
      <c r="L60" s="8" t="str">
        <f>"000158"</f>
        <v>000158</v>
      </c>
      <c r="M60" s="7">
        <v>43774</v>
      </c>
      <c r="N60" s="8">
        <v>19</v>
      </c>
      <c r="O60" s="8" t="str">
        <f>"006371"</f>
        <v>006371</v>
      </c>
      <c r="P60" s="7">
        <v>43794</v>
      </c>
      <c r="Q60" s="10">
        <v>25.158999999999999</v>
      </c>
      <c r="R60" s="10">
        <v>1.1392599999999999</v>
      </c>
      <c r="S60" s="10">
        <v>24.019739999999999</v>
      </c>
      <c r="T60" s="8">
        <v>13</v>
      </c>
      <c r="U60" s="7">
        <v>43798</v>
      </c>
      <c r="V60" s="8">
        <v>9845641836</v>
      </c>
      <c r="W60" s="9" t="s">
        <v>222</v>
      </c>
      <c r="X60" s="8" t="s">
        <v>223</v>
      </c>
      <c r="Y60" s="9" t="s">
        <v>224</v>
      </c>
      <c r="Z60" s="8" t="s">
        <v>58</v>
      </c>
      <c r="AA60" s="9" t="s">
        <v>59</v>
      </c>
      <c r="AB60" s="10">
        <v>0.25158999999999998</v>
      </c>
    </row>
    <row r="61" spans="1:28" s="4" customFormat="1" ht="13" x14ac:dyDescent="0.3">
      <c r="A61" s="5">
        <v>320</v>
      </c>
      <c r="B61" s="6" t="s">
        <v>225</v>
      </c>
      <c r="C61" s="7">
        <v>43801</v>
      </c>
      <c r="D61" s="5">
        <v>7</v>
      </c>
      <c r="E61" s="9" t="s">
        <v>54</v>
      </c>
      <c r="F61" s="8" t="s">
        <v>226</v>
      </c>
      <c r="G61" s="9" t="s">
        <v>227</v>
      </c>
      <c r="H61" s="8" t="str">
        <f>"000011"</f>
        <v>000011</v>
      </c>
      <c r="I61" s="7">
        <v>43591</v>
      </c>
      <c r="J61" s="8" t="str">
        <f>"000062"</f>
        <v>000062</v>
      </c>
      <c r="K61" s="7">
        <v>43773</v>
      </c>
      <c r="L61" s="8" t="str">
        <f>"000155"</f>
        <v>000155</v>
      </c>
      <c r="M61" s="7">
        <v>43773</v>
      </c>
      <c r="N61" s="8">
        <v>19</v>
      </c>
      <c r="O61" s="8" t="str">
        <f>"006459"</f>
        <v>006459</v>
      </c>
      <c r="P61" s="7">
        <v>43797</v>
      </c>
      <c r="Q61" s="10">
        <v>17.658000000000001</v>
      </c>
      <c r="R61" s="10">
        <v>1.5970200000000001</v>
      </c>
      <c r="S61" s="10">
        <v>16.060980000000001</v>
      </c>
      <c r="T61" s="8">
        <v>13</v>
      </c>
      <c r="U61" s="7">
        <v>43801</v>
      </c>
      <c r="V61" s="8">
        <v>9448510633</v>
      </c>
      <c r="W61" s="9" t="s">
        <v>228</v>
      </c>
      <c r="X61" s="8" t="s">
        <v>142</v>
      </c>
      <c r="Y61" s="9" t="s">
        <v>143</v>
      </c>
      <c r="Z61" s="8" t="s">
        <v>58</v>
      </c>
      <c r="AA61" s="9" t="s">
        <v>59</v>
      </c>
      <c r="AB61" s="10">
        <v>0.17658000000000001</v>
      </c>
    </row>
    <row r="62" spans="1:28" s="4" customFormat="1" ht="13" x14ac:dyDescent="0.3">
      <c r="A62" s="5">
        <v>321</v>
      </c>
      <c r="B62" s="6" t="s">
        <v>225</v>
      </c>
      <c r="C62" s="7">
        <v>43801</v>
      </c>
      <c r="D62" s="5">
        <v>7</v>
      </c>
      <c r="E62" s="9" t="s">
        <v>54</v>
      </c>
      <c r="F62" s="8" t="s">
        <v>229</v>
      </c>
      <c r="G62" s="9" t="s">
        <v>230</v>
      </c>
      <c r="H62" s="8" t="str">
        <f>"000028"</f>
        <v>000028</v>
      </c>
      <c r="I62" s="7">
        <v>43631</v>
      </c>
      <c r="J62" s="8" t="str">
        <f>"000065"</f>
        <v>000065</v>
      </c>
      <c r="K62" s="7">
        <v>43774</v>
      </c>
      <c r="L62" s="8" t="str">
        <f>"000157"</f>
        <v>000157</v>
      </c>
      <c r="M62" s="7">
        <v>43774</v>
      </c>
      <c r="N62" s="8">
        <v>19</v>
      </c>
      <c r="O62" s="8" t="str">
        <f>"006474"</f>
        <v>006474</v>
      </c>
      <c r="P62" s="7">
        <v>43797</v>
      </c>
      <c r="Q62" s="10">
        <v>42.654000000000003</v>
      </c>
      <c r="R62" s="10">
        <v>3.9730699999999999</v>
      </c>
      <c r="S62" s="10">
        <v>38.680929999999996</v>
      </c>
      <c r="T62" s="8">
        <v>13</v>
      </c>
      <c r="U62" s="7">
        <v>43801</v>
      </c>
      <c r="V62" s="8">
        <v>0</v>
      </c>
      <c r="W62" s="9" t="s">
        <v>231</v>
      </c>
      <c r="X62" s="8" t="s">
        <v>135</v>
      </c>
      <c r="Y62" s="9" t="s">
        <v>136</v>
      </c>
      <c r="Z62" s="8" t="s">
        <v>58</v>
      </c>
      <c r="AA62" s="9" t="s">
        <v>59</v>
      </c>
      <c r="AB62" s="10">
        <v>0.42654000000000003</v>
      </c>
    </row>
    <row r="63" spans="1:28" s="4" customFormat="1" ht="13" x14ac:dyDescent="0.3">
      <c r="A63" s="5">
        <v>322</v>
      </c>
      <c r="B63" s="6" t="s">
        <v>225</v>
      </c>
      <c r="C63" s="7">
        <v>43805</v>
      </c>
      <c r="D63" s="5">
        <v>7</v>
      </c>
      <c r="E63" s="9" t="s">
        <v>54</v>
      </c>
      <c r="F63" s="8" t="s">
        <v>232</v>
      </c>
      <c r="G63" s="9" t="s">
        <v>233</v>
      </c>
      <c r="H63" s="8" t="str">
        <f>"000063"</f>
        <v>000063</v>
      </c>
      <c r="I63" s="7">
        <v>43129</v>
      </c>
      <c r="J63" s="8" t="str">
        <f>"000004"</f>
        <v>000004</v>
      </c>
      <c r="K63" s="7">
        <v>43244</v>
      </c>
      <c r="L63" s="8" t="str">
        <f>"000019"</f>
        <v>000019</v>
      </c>
      <c r="M63" s="7">
        <v>43245</v>
      </c>
      <c r="N63" s="8">
        <v>17</v>
      </c>
      <c r="O63" s="8" t="str">
        <f>"006537"</f>
        <v>006537</v>
      </c>
      <c r="P63" s="7">
        <v>43802</v>
      </c>
      <c r="Q63" s="10">
        <v>12.456939999999999</v>
      </c>
      <c r="R63" s="10">
        <v>0.36846000000000001</v>
      </c>
      <c r="S63" s="10">
        <v>12.088480000000001</v>
      </c>
      <c r="T63" s="8">
        <v>13</v>
      </c>
      <c r="U63" s="7">
        <v>43805</v>
      </c>
      <c r="V63" s="8">
        <v>9880650463</v>
      </c>
      <c r="W63" s="9" t="s">
        <v>234</v>
      </c>
      <c r="X63" s="8" t="s">
        <v>38</v>
      </c>
      <c r="Y63" s="9" t="s">
        <v>39</v>
      </c>
      <c r="Z63" s="8" t="s">
        <v>58</v>
      </c>
      <c r="AA63" s="9" t="s">
        <v>59</v>
      </c>
      <c r="AB63" s="10">
        <v>0.1245694</v>
      </c>
    </row>
    <row r="64" spans="1:28" s="4" customFormat="1" ht="13" x14ac:dyDescent="0.3">
      <c r="A64" s="5">
        <v>323</v>
      </c>
      <c r="B64" s="6" t="s">
        <v>225</v>
      </c>
      <c r="C64" s="7">
        <v>43818</v>
      </c>
      <c r="D64" s="5">
        <v>7</v>
      </c>
      <c r="E64" s="9" t="s">
        <v>54</v>
      </c>
      <c r="F64" s="8" t="s">
        <v>235</v>
      </c>
      <c r="G64" s="9" t="s">
        <v>236</v>
      </c>
      <c r="H64" s="8" t="str">
        <f>"000100"</f>
        <v>000100</v>
      </c>
      <c r="I64" s="7">
        <v>43164</v>
      </c>
      <c r="J64" s="8" t="str">
        <f>"000066"</f>
        <v>000066</v>
      </c>
      <c r="K64" s="7">
        <v>43493</v>
      </c>
      <c r="L64" s="8" t="str">
        <f>"000203"</f>
        <v>000203</v>
      </c>
      <c r="M64" s="7">
        <v>43496</v>
      </c>
      <c r="N64" s="8">
        <v>18</v>
      </c>
      <c r="O64" s="8" t="str">
        <f>"006866"</f>
        <v>006866</v>
      </c>
      <c r="P64" s="7">
        <v>43817</v>
      </c>
      <c r="Q64" s="10">
        <v>29.890809999999998</v>
      </c>
      <c r="R64" s="10">
        <v>4.8908100000000001</v>
      </c>
      <c r="S64" s="10">
        <v>25</v>
      </c>
      <c r="T64" s="8">
        <v>13</v>
      </c>
      <c r="U64" s="7">
        <v>43818</v>
      </c>
      <c r="V64" s="8">
        <v>9449863065</v>
      </c>
      <c r="W64" s="9" t="s">
        <v>103</v>
      </c>
      <c r="X64" s="8" t="s">
        <v>104</v>
      </c>
      <c r="Y64" s="9" t="s">
        <v>105</v>
      </c>
      <c r="Z64" s="8" t="s">
        <v>58</v>
      </c>
      <c r="AA64" s="9" t="s">
        <v>59</v>
      </c>
      <c r="AB64" s="10">
        <v>0.29890810000000001</v>
      </c>
    </row>
    <row r="65" spans="1:28" s="4" customFormat="1" ht="13" x14ac:dyDescent="0.3">
      <c r="A65" s="5">
        <v>324</v>
      </c>
      <c r="B65" s="6" t="s">
        <v>225</v>
      </c>
      <c r="C65" s="7">
        <v>43818</v>
      </c>
      <c r="D65" s="5">
        <v>7</v>
      </c>
      <c r="E65" s="9" t="s">
        <v>54</v>
      </c>
      <c r="F65" s="8" t="s">
        <v>237</v>
      </c>
      <c r="G65" s="9" t="s">
        <v>238</v>
      </c>
      <c r="H65" s="8" t="str">
        <f>"000241"</f>
        <v>000241</v>
      </c>
      <c r="I65" s="7">
        <v>43523</v>
      </c>
      <c r="J65" s="8" t="str">
        <f>"000044"</f>
        <v>000044</v>
      </c>
      <c r="K65" s="7">
        <v>43738</v>
      </c>
      <c r="L65" s="8" t="str">
        <f>"000120"</f>
        <v>000120</v>
      </c>
      <c r="M65" s="7">
        <v>43747</v>
      </c>
      <c r="N65" s="8">
        <v>19</v>
      </c>
      <c r="O65" s="8" t="str">
        <f>"006629"</f>
        <v>006629</v>
      </c>
      <c r="P65" s="7">
        <v>43803</v>
      </c>
      <c r="Q65" s="10">
        <v>0.247</v>
      </c>
      <c r="R65" s="10">
        <v>2.47E-2</v>
      </c>
      <c r="S65" s="10">
        <v>0.2223</v>
      </c>
      <c r="T65" s="8">
        <v>13</v>
      </c>
      <c r="U65" s="7">
        <v>43818</v>
      </c>
      <c r="V65" s="8">
        <v>9886913195</v>
      </c>
      <c r="W65" s="9" t="s">
        <v>239</v>
      </c>
      <c r="X65" s="8" t="s">
        <v>178</v>
      </c>
      <c r="Y65" s="9" t="s">
        <v>179</v>
      </c>
      <c r="Z65" s="8" t="s">
        <v>58</v>
      </c>
      <c r="AA65" s="9" t="s">
        <v>59</v>
      </c>
      <c r="AB65" s="10">
        <v>2.47E-3</v>
      </c>
    </row>
    <row r="66" spans="1:28" s="4" customFormat="1" ht="13" x14ac:dyDescent="0.3">
      <c r="A66" s="5">
        <v>325</v>
      </c>
      <c r="B66" s="6" t="s">
        <v>225</v>
      </c>
      <c r="C66" s="7">
        <v>43826</v>
      </c>
      <c r="D66" s="5">
        <v>7</v>
      </c>
      <c r="E66" s="9" t="s">
        <v>54</v>
      </c>
      <c r="F66" s="8" t="s">
        <v>237</v>
      </c>
      <c r="G66" s="9" t="s">
        <v>238</v>
      </c>
      <c r="H66" s="8" t="str">
        <f>"000241"</f>
        <v>000241</v>
      </c>
      <c r="I66" s="7">
        <v>43523</v>
      </c>
      <c r="J66" s="8" t="str">
        <f>"000044"</f>
        <v>000044</v>
      </c>
      <c r="K66" s="7">
        <v>43738</v>
      </c>
      <c r="L66" s="8" t="str">
        <f>"000120"</f>
        <v>000120</v>
      </c>
      <c r="M66" s="7">
        <v>43747</v>
      </c>
      <c r="N66" s="8">
        <v>19</v>
      </c>
      <c r="O66" s="8" t="str">
        <f>"006629"</f>
        <v>006629</v>
      </c>
      <c r="P66" s="7">
        <v>43803</v>
      </c>
      <c r="Q66" s="10">
        <v>133.19974999999999</v>
      </c>
      <c r="R66" s="10">
        <v>6.5937599999999996</v>
      </c>
      <c r="S66" s="10">
        <v>126.60599000000001</v>
      </c>
      <c r="T66" s="8">
        <v>13</v>
      </c>
      <c r="U66" s="7">
        <v>43826</v>
      </c>
      <c r="V66" s="8">
        <v>9886213563</v>
      </c>
      <c r="W66" s="9" t="s">
        <v>240</v>
      </c>
      <c r="X66" s="8" t="s">
        <v>178</v>
      </c>
      <c r="Y66" s="9" t="s">
        <v>179</v>
      </c>
      <c r="Z66" s="8" t="s">
        <v>241</v>
      </c>
      <c r="AA66" s="9" t="s">
        <v>242</v>
      </c>
      <c r="AB66" s="10">
        <v>1.3319974999999999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2020-01-28T11:15:30Z</dcterms:modified>
</cp:coreProperties>
</file>