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8" i="1" l="1"/>
  <c r="L58" i="1"/>
  <c r="J58" i="1"/>
  <c r="H58" i="1"/>
  <c r="AB57" i="1"/>
  <c r="O57" i="1"/>
  <c r="L57" i="1"/>
  <c r="J57" i="1"/>
  <c r="H57" i="1"/>
  <c r="AB56" i="1"/>
  <c r="O56" i="1"/>
  <c r="L56" i="1"/>
  <c r="J56" i="1"/>
  <c r="H56" i="1"/>
  <c r="AB55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<sst xmlns="http://schemas.openxmlformats.org/spreadsheetml/2006/main" count="541" uniqueCount="197">
  <si>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</si>
  <si>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</si>
  <si>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</si>
  <si>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</si>
  <si>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</si>
  <si>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</si>
  <si>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</si>
  <si>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</si>
  <si>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</si>
  <si>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</si>
  <si>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</si>
  <si>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</si>
  <si>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</si>
  <si>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</si>
  <si>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</si>
  <si>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</si>
  <si>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</si>
  <si>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</si>
  <si>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</si>
  <si>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</si>
  <si>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</si>
  <si>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</si>
  <si>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</si>
  <si>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</si>
  <si>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</si>
  <si>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</si>
  <si>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</si>
  <si>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</si>
  <si>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</si>
  <si>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</si>
  <si>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</si>
  <si>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</si>
  <si>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</si>
  <si>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</si>
  <si>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</si>
  <si>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P3106</t>
  </si>
  <si>
    <t>Nagarothana Works</t>
  </si>
  <si>
    <t>ddo466</t>
  </si>
  <si>
    <t xml:space="preserve"> Assistant Executive Engineer Electrical Dasarahalli Zone</t>
  </si>
  <si>
    <t>P1878</t>
  </si>
  <si>
    <t>18per - Works (Bhagyajyothi, Sooru / Neeru Yojane and General) (54 Lakhs / New Wards)</t>
  </si>
  <si>
    <t>P3158</t>
  </si>
  <si>
    <t>SIP Infrastructure Project works</t>
  </si>
  <si>
    <t>M/s Technical Manager-West</t>
  </si>
  <si>
    <t>ddo663</t>
  </si>
  <si>
    <t xml:space="preserve"> Executive Engineer Road Infrastructure Dasarahalli Division Central Zone</t>
  </si>
  <si>
    <t>M/s. Technical Manager-West</t>
  </si>
  <si>
    <t>P0190</t>
  </si>
  <si>
    <t>Works sanctioned by Hon Mayor</t>
  </si>
  <si>
    <t>ddo313</t>
  </si>
  <si>
    <t xml:space="preserve"> Chief Engineer SWD Central Zone</t>
  </si>
  <si>
    <t>P3089</t>
  </si>
  <si>
    <t>Special Development works in 7 CMC and 1 TMC area in BBMP</t>
  </si>
  <si>
    <t>Rajagopal Nagara</t>
  </si>
  <si>
    <t>070-18-000041</t>
  </si>
  <si>
    <t>Construction of RCC box culvert and U Shape drain for secondary SWD from Basappana katte down stream in Shambavinagar in Ward no.70</t>
  </si>
  <si>
    <t>M/s BVH Consulting Enginees</t>
  </si>
  <si>
    <t>070-16-000001</t>
  </si>
  <si>
    <t>Operation and Maintenance of stree light at Rajgopalanagara Ward No. 70 Package D-8</t>
  </si>
  <si>
    <t>M/s Sri Lakshmi narasimha Electricals</t>
  </si>
  <si>
    <t>304-18-000048</t>
  </si>
  <si>
    <t>Improvements to roads and drains at Shambavi Nagara main and cross roads in ward No-70, Rajgopalanagar</t>
  </si>
  <si>
    <t>304-18-000045</t>
  </si>
  <si>
    <t>Improvements to roads and drains at Annapoorneshwari nagara main and cros roads in ward No-70, Rajgopalanagar</t>
  </si>
  <si>
    <t>304-18-000044</t>
  </si>
  <si>
    <t>Improvements to roads and drains at Kapilanagara main and cross roads in ward No 70 Rajgopalanagar</t>
  </si>
  <si>
    <t>304-18-000042</t>
  </si>
  <si>
    <t>Improvements to roads and drains at Srigandhanagara main road and R S and L S cross roads in ward No 70 Rajgopalanagar</t>
  </si>
  <si>
    <t>070-18-000038</t>
  </si>
  <si>
    <t>Improvements to roads and drains at Anganavadi surrounding area at Basappanakatte in ward no 70</t>
  </si>
  <si>
    <t xml:space="preserve">M/s. Nijaguna Land Developers &amp; Builders, </t>
  </si>
  <si>
    <t>ddo022</t>
  </si>
  <si>
    <t xml:space="preserve"> Assistant Executive Engineer HeganaHalli SubDiv Dasarahalli Zone</t>
  </si>
  <si>
    <t>070-18-000039</t>
  </si>
  <si>
    <t>Improvements to roads and drains at Govt, School Surrounding area at Basappanakatte in ward no 70</t>
  </si>
  <si>
    <t>M/s. Nijaguna Land Developers &amp; Builders</t>
  </si>
  <si>
    <t>304-18-000040</t>
  </si>
  <si>
    <t>Improvements to roads and drains at Muneshwar Temple  surrounding area  at Srigandhanagara in ward No-70.</t>
  </si>
  <si>
    <t>Improvements to roads and drains at  Kapilanagara main and cross roads  in ward No 70  Rajgopalanagar</t>
  </si>
  <si>
    <t>Improvements to roads and drains at Annapoorneshwari nagara main and cros roads in  ward No-70, Rajgopalanagar</t>
  </si>
  <si>
    <t>304-18-000035</t>
  </si>
  <si>
    <t>Consultancy Services for Preparation of Detailed Project Report for the work of Improvement of 8 no of roads and drains in ward no- 70, of Dasarahalli Zone.</t>
  </si>
  <si>
    <t>304-18-000043</t>
  </si>
  <si>
    <t>Consultancy Services for Preparation of Detailed Project Report for the work of Improvement of 7 no of roads and drains in ward no-70 of Dasarahalli zone.</t>
  </si>
  <si>
    <t>304-18-000047</t>
  </si>
  <si>
    <t>Improvements to roads and drains at BBMP office Oppl. Surrounding area at Srigandhanagara in ward No-70, Rajgopalanagar</t>
  </si>
  <si>
    <t>304-18-000039</t>
  </si>
  <si>
    <t>Improvements to roads and drains at Markandeya temple surrounding area in ward No 70.</t>
  </si>
  <si>
    <t>304-18-000038</t>
  </si>
  <si>
    <t>Improvements to roads and drains at Bodubunde Anjaneya Temple surrounding area in ward No-70.</t>
  </si>
  <si>
    <t>070-17-000032</t>
  </si>
  <si>
    <t>Improvements to Main road from 5th cross to Duggalamma temple connecting roads and 6th and 7th corss roads at Kasthuri Badavane in ward no. 70</t>
  </si>
  <si>
    <t>M/S. Nijaguna Land Developers &amp; Builders</t>
  </si>
  <si>
    <t>070-17-000033</t>
  </si>
  <si>
    <t>Improvements to 4th, 5th, 8th, and 9th cross roads at Bhyraveshwara nagara near DM Public school in ward no. 70</t>
  </si>
  <si>
    <t>304-18-000036</t>
  </si>
  <si>
    <t>Improvements to roads and drains at Raghavendra School surrounding area at Basappanakatte in ward No-70.</t>
  </si>
  <si>
    <t xml:space="preserve">M/s. Technical Manager </t>
  </si>
  <si>
    <t>304-18-000046</t>
  </si>
  <si>
    <t>Improvements to roads and drains at Ramaiah Badavane main and cross roads in ward No 70 Rajgopalanagar</t>
  </si>
  <si>
    <t>304-18-000041</t>
  </si>
  <si>
    <t>Improvements to roads and drains at back side of Konika Garments surrounding area in ward No-70, Rajgopalanagar</t>
  </si>
  <si>
    <t>304-18-000037</t>
  </si>
  <si>
    <t>Improvements to roads and drains L S of Hegganahalli main road in ward No 70.</t>
  </si>
  <si>
    <t>070-17-000008</t>
  </si>
  <si>
    <t>Construction of Culvert and desilting of drain to 10th main 8th cross right side of Rajgopalanagara ward no 70 Hegganahalli Sub division</t>
  </si>
  <si>
    <t>MUNIRAJ NAIK</t>
  </si>
  <si>
    <t>070-17-000011</t>
  </si>
  <si>
    <t>Construction of drains at 5th and 5th D cross at Kasthuri badavane in ward no 70 Rajgopalangara Heganahalli Sub division</t>
  </si>
  <si>
    <t>070-17-000020</t>
  </si>
  <si>
    <t>Improvements to drain at 2nd main Kasthuri badavane in ward no 70 Rajgopalangara Heganahalli Sub division</t>
  </si>
  <si>
    <t xml:space="preserve"> DV KUMAR</t>
  </si>
  <si>
    <t>070-17-000009</t>
  </si>
  <si>
    <t>Construction of drain and improvements to Ganesha Temple surrounding area left side in ward no 70 Rajgopalangara Heganahalli Sub division</t>
  </si>
  <si>
    <t>PAVANKUMAR K</t>
  </si>
  <si>
    <t>070-18-000006</t>
  </si>
  <si>
    <t>Improvements to roads and drains Doddanna Industrial area near NLS School surrounding area Rajagopalanagara in ward no 70</t>
  </si>
  <si>
    <t>July</t>
  </si>
  <si>
    <t>070-18-000111</t>
  </si>
  <si>
    <t>Improvements to road and drain at beside of Storm water drain in ward no 70 Rajagopalanagara</t>
  </si>
  <si>
    <t>KRIDL</t>
  </si>
  <si>
    <t>P3297</t>
  </si>
  <si>
    <t>14th Finance Commission Grants - SWD Works</t>
  </si>
  <si>
    <t>070-18-000049</t>
  </si>
  <si>
    <t>Construction of culverts at New Extension cross roads Joing Markandeya temple road in ward no 70</t>
  </si>
  <si>
    <t>P3296</t>
  </si>
  <si>
    <t>14th Finance Commission Works - Road and Footpath Maintenance</t>
  </si>
  <si>
    <t>070-18-000048</t>
  </si>
  <si>
    <t>Providing sanitary pipelines at Missing bits in ward no 70</t>
  </si>
  <si>
    <t>P3295</t>
  </si>
  <si>
    <t>14th Finance Commission Works - UGD Works</t>
  </si>
  <si>
    <t>070-18-000047</t>
  </si>
  <si>
    <t>Extension of Pipelines in Missing bits and providing water supply in ward no 70</t>
  </si>
  <si>
    <t>P3293</t>
  </si>
  <si>
    <t>14th Finance Commission Works - Drinking Water</t>
  </si>
  <si>
    <t>070-18-000115</t>
  </si>
  <si>
    <t>Construction of Retaining wall to Storm water drain at Bhyraveshwara Nagara in ward no 70 Rajagopalanagara</t>
  </si>
  <si>
    <t>070-17-000012</t>
  </si>
  <si>
    <t>Construction of drains Culvert at 10th main 8th cross left side in ward no 70 Rajgopalanagara Hegganahalli Sub division</t>
  </si>
  <si>
    <t>D.V.Kumar</t>
  </si>
  <si>
    <t>070-17-000047</t>
  </si>
  <si>
    <t>Reconstruction of Culverts in ward no 70</t>
  </si>
  <si>
    <t>P2178</t>
  </si>
  <si>
    <t>Works sanctioned by Dy. Mayor</t>
  </si>
  <si>
    <t>August</t>
  </si>
  <si>
    <t>070-18-000117</t>
  </si>
  <si>
    <t xml:space="preserve">Improvements to drain around Indira Canteen Premises in ward no.70 Rajagopalanagara </t>
  </si>
  <si>
    <t>Monoj Naik</t>
  </si>
  <si>
    <t>070-18-000118</t>
  </si>
  <si>
    <t xml:space="preserve">Providing water supply and constructing SSM walls in Indira Canteen premises in ward no.70 Rajagopalanagara </t>
  </si>
  <si>
    <t xml:space="preserve">Manoj Naik </t>
  </si>
  <si>
    <t>070-18-000119</t>
  </si>
  <si>
    <t xml:space="preserve">Providing pathway and kerb stones at Indira Canteen premises in ward no.70 Rajagopalanagara </t>
  </si>
  <si>
    <t>070-18-000120</t>
  </si>
  <si>
    <t>Providing fencing Grill work and other work to Indira Canteen in ward no 70 Rajagopalanagara</t>
  </si>
  <si>
    <t>Manoj Naik</t>
  </si>
  <si>
    <t>070-18-000022</t>
  </si>
  <si>
    <t>Improvements to drains and Reconstruction of Culverts at Kapilanagara in ward no 70.</t>
  </si>
  <si>
    <t>B M Kiran</t>
  </si>
  <si>
    <t>P3316</t>
  </si>
  <si>
    <t>Special Development works at ward No.82, 6, 16, 44, 70, 17, 26, 13, 79, 35 Rs.8.00 Cr each</t>
  </si>
  <si>
    <t>070-18-000009</t>
  </si>
  <si>
    <t>Improvements to roads and drains at Bilpatre tree main road and surrounding area in ward no 70</t>
  </si>
  <si>
    <t>070-18-000027</t>
  </si>
  <si>
    <t>Improvements to roads at Shambhavinagara cross roads in ward no 70 Rajagopalanagara</t>
  </si>
  <si>
    <t>P3336</t>
  </si>
  <si>
    <t>Special Development works at Ward No.63,84,86,112,144 ( 05 wards Rs.10.00 Cr. Each) and Ward no.60,80,113,122 ( 04 wards Rs.11.00 Cr. Each)</t>
  </si>
  <si>
    <t>070-18-000025</t>
  </si>
  <si>
    <t>Improvements to roads at Doddanna Industrial area cross roads in ward no 70 Rajagopalanagara</t>
  </si>
  <si>
    <t>070-18-000024</t>
  </si>
  <si>
    <t>Improvements to roads at Srigandhanagara cross roads in ward no 70 Rajagopalanagara</t>
  </si>
  <si>
    <t>070-18-000043</t>
  </si>
  <si>
    <t>Construction of RCC culverts and U shape drain Kasthuri Badavane near Maruthi Theater ward No.70</t>
  </si>
  <si>
    <t>Sri Girish Gowda</t>
  </si>
  <si>
    <t>070-18-000028</t>
  </si>
  <si>
    <t>Improvements to roads at Bhyraveshwara Nagara main and cross roads in ward no 70 Rajagopalanagara</t>
  </si>
  <si>
    <t>070-17-000021</t>
  </si>
  <si>
    <t>Providing and fixing of street name boards in ward no 70 Rajgopalangara Heganahalli Sub division</t>
  </si>
  <si>
    <t>Thippeswamy N</t>
  </si>
  <si>
    <t>070-17-000046</t>
  </si>
  <si>
    <t>Improvements to drains and Asphalting to roads at 5th cross near SWD at Pillappanakatte in ward no 70</t>
  </si>
  <si>
    <t>070-17-000045</t>
  </si>
  <si>
    <t>Improvements to drains and Asphalting to roads at 3rd and 4th cross near SWD at Pillappanakatte in ward no 70</t>
  </si>
  <si>
    <t>070-17-000044</t>
  </si>
  <si>
    <t>Improvements to drains and Asphalting to roads at 1st and 2nd cross near SWD at Pillappanakatte in ward no 70</t>
  </si>
  <si>
    <t>September</t>
  </si>
  <si>
    <t>M/s. Civil Tech Consultants and Engineers</t>
  </si>
  <si>
    <t>304-18-000049</t>
  </si>
  <si>
    <t>Improvements to roads and drains at back side of DM public school surrounding area at Bhyraveshawara nagar in ward No 70.</t>
  </si>
  <si>
    <t>November</t>
  </si>
  <si>
    <t>070-17-000043</t>
  </si>
  <si>
    <t>Development works at ward no 70 GKW Park</t>
  </si>
  <si>
    <t xml:space="preserve">The Technical Manager, KRIDL, </t>
  </si>
  <si>
    <t>P0973</t>
  </si>
  <si>
    <t>Lighting of Parks, Toilet Amenities</t>
  </si>
  <si>
    <t>ddo464</t>
  </si>
  <si>
    <t xml:space="preserve"> Assistant Executive Engineer Project - 1 Dasarahalli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</si>
</sst>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tabSelected="1" topLeftCell="A53" workbookViewId="0">
      <selection activeCell="C1" sqref="C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5" max="5" width="14.179687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2438</v>
      </c>
      <c r="B2" s="6" t="s">
        <v>28</v>
      </c>
      <c r="C2" s="7">
        <v>43560</v>
      </c>
      <c r="D2" s="8">
        <v>70</v>
      </c>
      <c r="E2" s="9" t="s">
        <v>53</v>
      </c>
      <c r="F2" s="8" t="s">
        <v>54</v>
      </c>
      <c r="G2" s="9" t="s">
        <v>55</v>
      </c>
      <c r="H2" s="8" t="str">
        <f>"000002"</f>
        <v>000002</v>
      </c>
      <c r="I2" s="7">
        <v>43097</v>
      </c>
      <c r="J2" s="8" t="str">
        <f>"000006"</f>
        <v>000006</v>
      </c>
      <c r="K2" s="7">
        <v>43097</v>
      </c>
      <c r="L2" s="8" t="str">
        <f>"000071"</f>
        <v>000071</v>
      </c>
      <c r="M2" s="7">
        <v>43098</v>
      </c>
      <c r="N2" s="8">
        <v>18</v>
      </c>
      <c r="O2" s="8" t="str">
        <f>"003549"</f>
        <v>003549</v>
      </c>
      <c r="P2" s="7">
        <v>43291</v>
      </c>
      <c r="Q2" s="10">
        <v>2.85</v>
      </c>
      <c r="R2" s="10">
        <v>0.28499999999999998</v>
      </c>
      <c r="S2" s="10">
        <v>2.5649999999999999</v>
      </c>
      <c r="T2" s="8">
        <v>3</v>
      </c>
      <c r="U2" s="7">
        <v>43560</v>
      </c>
      <c r="V2" s="8">
        <v>9964339888</v>
      </c>
      <c r="W2" s="9" t="s">
        <v>56</v>
      </c>
      <c r="X2" s="8" t="s">
        <v>35</v>
      </c>
      <c r="Y2" s="9" t="s">
        <v>36</v>
      </c>
      <c r="Z2" s="8" t="s">
        <v>49</v>
      </c>
      <c r="AA2" s="9" t="s">
        <v>50</v>
      </c>
      <c r="AB2" s="10">
        <f t="shared" ref="AB2:AB27" si="0">Q2/100</f>
        <v>2.8500000000000001E-2</v>
      </c>
    </row>
    <row r="3" spans="1:28" s="4" customFormat="1" ht="13" x14ac:dyDescent="0.3">
      <c r="A3" s="5">
        <v>2439</v>
      </c>
      <c r="B3" s="6" t="s">
        <v>28</v>
      </c>
      <c r="C3" s="7">
        <v>43567</v>
      </c>
      <c r="D3" s="8">
        <v>70</v>
      </c>
      <c r="E3" s="9" t="s">
        <v>53</v>
      </c>
      <c r="F3" s="8" t="s">
        <v>57</v>
      </c>
      <c r="G3" s="9" t="s">
        <v>58</v>
      </c>
      <c r="H3" s="8" t="str">
        <f>"00008A"</f>
        <v>00008A</v>
      </c>
      <c r="I3" s="7">
        <v>42697</v>
      </c>
      <c r="J3" s="8" t="str">
        <f>"000009"</f>
        <v>000009</v>
      </c>
      <c r="K3" s="7">
        <v>43088</v>
      </c>
      <c r="L3" s="8" t="str">
        <f>"000008"</f>
        <v>000008</v>
      </c>
      <c r="M3" s="7">
        <v>43088</v>
      </c>
      <c r="N3" s="8">
        <v>16</v>
      </c>
      <c r="O3" s="8" t="str">
        <f>"003739"</f>
        <v>003739</v>
      </c>
      <c r="P3" s="7">
        <v>43294</v>
      </c>
      <c r="Q3" s="10">
        <v>8.1880299999999995</v>
      </c>
      <c r="R3" s="10">
        <v>0.90844000000000003</v>
      </c>
      <c r="S3" s="10">
        <v>7.2795899999999998</v>
      </c>
      <c r="T3" s="8">
        <v>17</v>
      </c>
      <c r="U3" s="7">
        <v>43567</v>
      </c>
      <c r="V3" s="8">
        <v>9845937419</v>
      </c>
      <c r="W3" s="9" t="s">
        <v>59</v>
      </c>
      <c r="X3" s="8" t="s">
        <v>29</v>
      </c>
      <c r="Y3" s="9" t="s">
        <v>30</v>
      </c>
      <c r="Z3" s="8" t="s">
        <v>37</v>
      </c>
      <c r="AA3" s="9" t="s">
        <v>38</v>
      </c>
      <c r="AB3" s="10">
        <f t="shared" si="0"/>
        <v>8.1880299999999989E-2</v>
      </c>
    </row>
    <row r="4" spans="1:28" s="4" customFormat="1" ht="13" x14ac:dyDescent="0.3">
      <c r="A4" s="5">
        <v>2440</v>
      </c>
      <c r="B4" s="6" t="s">
        <v>28</v>
      </c>
      <c r="C4" s="7">
        <v>43571</v>
      </c>
      <c r="D4" s="8">
        <v>70</v>
      </c>
      <c r="E4" s="9" t="s">
        <v>53</v>
      </c>
      <c r="F4" s="8" t="s">
        <v>60</v>
      </c>
      <c r="G4" s="9" t="s">
        <v>61</v>
      </c>
      <c r="H4" s="8" t="str">
        <f>"000040"</f>
        <v>000040</v>
      </c>
      <c r="I4" s="7">
        <v>43500</v>
      </c>
      <c r="J4" s="8" t="str">
        <f>"000041"</f>
        <v>000041</v>
      </c>
      <c r="K4" s="7">
        <v>43500</v>
      </c>
      <c r="L4" s="8" t="str">
        <f>"000040"</f>
        <v>000040</v>
      </c>
      <c r="M4" s="7">
        <v>43500</v>
      </c>
      <c r="N4" s="8">
        <v>18</v>
      </c>
      <c r="O4" s="8" t="str">
        <f>"000450"</f>
        <v>000450</v>
      </c>
      <c r="P4" s="7">
        <v>43567</v>
      </c>
      <c r="Q4" s="10">
        <v>64.261349999999993</v>
      </c>
      <c r="R4" s="10">
        <v>7.1568100000000001</v>
      </c>
      <c r="S4" s="10">
        <v>57.10454</v>
      </c>
      <c r="T4" s="8">
        <v>18</v>
      </c>
      <c r="U4" s="7">
        <v>43571</v>
      </c>
      <c r="V4" s="8">
        <v>7019753347</v>
      </c>
      <c r="W4" s="9" t="s">
        <v>46</v>
      </c>
      <c r="X4" s="8" t="s">
        <v>41</v>
      </c>
      <c r="Y4" s="9" t="s">
        <v>42</v>
      </c>
      <c r="Z4" s="8" t="s">
        <v>44</v>
      </c>
      <c r="AA4" s="9" t="s">
        <v>45</v>
      </c>
      <c r="AB4" s="10">
        <f t="shared" si="0"/>
        <v>0.64261349999999995</v>
      </c>
    </row>
    <row r="5" spans="1:28" s="4" customFormat="1" ht="13" x14ac:dyDescent="0.3">
      <c r="A5" s="5">
        <v>2441</v>
      </c>
      <c r="B5" s="6" t="s">
        <v>28</v>
      </c>
      <c r="C5" s="7">
        <v>43571</v>
      </c>
      <c r="D5" s="8">
        <v>70</v>
      </c>
      <c r="E5" s="9" t="s">
        <v>53</v>
      </c>
      <c r="F5" s="8" t="s">
        <v>62</v>
      </c>
      <c r="G5" s="9" t="s">
        <v>63</v>
      </c>
      <c r="H5" s="8" t="str">
        <f>"000041"</f>
        <v>000041</v>
      </c>
      <c r="I5" s="7">
        <v>43518</v>
      </c>
      <c r="J5" s="8" t="str">
        <f>"000047"</f>
        <v>000047</v>
      </c>
      <c r="K5" s="7">
        <v>43518</v>
      </c>
      <c r="L5" s="8" t="str">
        <f>"000046"</f>
        <v>000046</v>
      </c>
      <c r="M5" s="7">
        <v>43524</v>
      </c>
      <c r="N5" s="8">
        <v>18</v>
      </c>
      <c r="O5" s="8" t="str">
        <f>"000624"</f>
        <v>000624</v>
      </c>
      <c r="P5" s="7">
        <v>43570</v>
      </c>
      <c r="Q5" s="10">
        <v>105.34918</v>
      </c>
      <c r="R5" s="10">
        <v>11.429919999999999</v>
      </c>
      <c r="S5" s="10">
        <v>93.919259999999994</v>
      </c>
      <c r="T5" s="8">
        <v>18</v>
      </c>
      <c r="U5" s="7">
        <v>43571</v>
      </c>
      <c r="V5" s="8">
        <v>7019753347</v>
      </c>
      <c r="W5" s="9" t="s">
        <v>43</v>
      </c>
      <c r="X5" s="8" t="s">
        <v>41</v>
      </c>
      <c r="Y5" s="9" t="s">
        <v>42</v>
      </c>
      <c r="Z5" s="8" t="s">
        <v>44</v>
      </c>
      <c r="AA5" s="9" t="s">
        <v>45</v>
      </c>
      <c r="AB5" s="10">
        <f t="shared" si="0"/>
        <v>1.0534918</v>
      </c>
    </row>
    <row r="6" spans="1:28" s="4" customFormat="1" ht="13" x14ac:dyDescent="0.3">
      <c r="A6" s="5">
        <v>2442</v>
      </c>
      <c r="B6" s="6" t="s">
        <v>28</v>
      </c>
      <c r="C6" s="7">
        <v>43571</v>
      </c>
      <c r="D6" s="8">
        <v>70</v>
      </c>
      <c r="E6" s="9" t="s">
        <v>53</v>
      </c>
      <c r="F6" s="8" t="s">
        <v>64</v>
      </c>
      <c r="G6" s="9" t="s">
        <v>65</v>
      </c>
      <c r="H6" s="8" t="str">
        <f>"000043"</f>
        <v>000043</v>
      </c>
      <c r="I6" s="7">
        <v>43518</v>
      </c>
      <c r="J6" s="8" t="str">
        <f>"000048"</f>
        <v>000048</v>
      </c>
      <c r="K6" s="7">
        <v>43518</v>
      </c>
      <c r="L6" s="8" t="str">
        <f>"000047"</f>
        <v>000047</v>
      </c>
      <c r="M6" s="7">
        <v>43524</v>
      </c>
      <c r="N6" s="8">
        <v>18</v>
      </c>
      <c r="O6" s="8" t="str">
        <f>"000631"</f>
        <v>000631</v>
      </c>
      <c r="P6" s="7">
        <v>43570</v>
      </c>
      <c r="Q6" s="10">
        <v>134.27573000000001</v>
      </c>
      <c r="R6" s="10">
        <v>14.29128</v>
      </c>
      <c r="S6" s="10">
        <v>119.98445</v>
      </c>
      <c r="T6" s="8">
        <v>18</v>
      </c>
      <c r="U6" s="7">
        <v>43571</v>
      </c>
      <c r="V6" s="8">
        <v>7019753347</v>
      </c>
      <c r="W6" s="9" t="s">
        <v>43</v>
      </c>
      <c r="X6" s="8" t="s">
        <v>41</v>
      </c>
      <c r="Y6" s="9" t="s">
        <v>42</v>
      </c>
      <c r="Z6" s="8" t="s">
        <v>44</v>
      </c>
      <c r="AA6" s="9" t="s">
        <v>45</v>
      </c>
      <c r="AB6" s="10">
        <f t="shared" si="0"/>
        <v>1.3427573000000002</v>
      </c>
    </row>
    <row r="7" spans="1:28" s="4" customFormat="1" ht="13" x14ac:dyDescent="0.3">
      <c r="A7" s="5">
        <v>2443</v>
      </c>
      <c r="B7" s="6" t="s">
        <v>28</v>
      </c>
      <c r="C7" s="7">
        <v>43575</v>
      </c>
      <c r="D7" s="8">
        <v>70</v>
      </c>
      <c r="E7" s="9" t="s">
        <v>53</v>
      </c>
      <c r="F7" s="8" t="s">
        <v>57</v>
      </c>
      <c r="G7" s="9" t="s">
        <v>58</v>
      </c>
      <c r="H7" s="8" t="str">
        <f>"00008A"</f>
        <v>00008A</v>
      </c>
      <c r="I7" s="7">
        <v>42697</v>
      </c>
      <c r="J7" s="8" t="str">
        <f>"000009"</f>
        <v>000009</v>
      </c>
      <c r="K7" s="7">
        <v>43088</v>
      </c>
      <c r="L7" s="8" t="str">
        <f>"000008"</f>
        <v>000008</v>
      </c>
      <c r="M7" s="7">
        <v>43088</v>
      </c>
      <c r="N7" s="8">
        <v>16</v>
      </c>
      <c r="O7" s="8" t="str">
        <f>"003739"</f>
        <v>003739</v>
      </c>
      <c r="P7" s="7">
        <v>43294</v>
      </c>
      <c r="Q7" s="10">
        <v>5.8485899999999997</v>
      </c>
      <c r="R7" s="10">
        <v>0.76668000000000003</v>
      </c>
      <c r="S7" s="10">
        <v>5.0819099999999997</v>
      </c>
      <c r="T7" s="8">
        <v>20</v>
      </c>
      <c r="U7" s="7">
        <v>43575</v>
      </c>
      <c r="V7" s="8">
        <v>9845937419</v>
      </c>
      <c r="W7" s="9" t="s">
        <v>59</v>
      </c>
      <c r="X7" s="8" t="s">
        <v>29</v>
      </c>
      <c r="Y7" s="9" t="s">
        <v>30</v>
      </c>
      <c r="Z7" s="8" t="s">
        <v>37</v>
      </c>
      <c r="AA7" s="9" t="s">
        <v>38</v>
      </c>
      <c r="AB7" s="10">
        <f t="shared" si="0"/>
        <v>5.84859E-2</v>
      </c>
    </row>
    <row r="8" spans="1:28" s="4" customFormat="1" ht="13" x14ac:dyDescent="0.3">
      <c r="A8" s="5">
        <v>2444</v>
      </c>
      <c r="B8" s="6" t="s">
        <v>28</v>
      </c>
      <c r="C8" s="7">
        <v>43579</v>
      </c>
      <c r="D8" s="8">
        <v>70</v>
      </c>
      <c r="E8" s="9" t="s">
        <v>53</v>
      </c>
      <c r="F8" s="8" t="s">
        <v>66</v>
      </c>
      <c r="G8" s="9" t="s">
        <v>67</v>
      </c>
      <c r="H8" s="8" t="str">
        <f>"000042"</f>
        <v>000042</v>
      </c>
      <c r="I8" s="7">
        <v>43518</v>
      </c>
      <c r="J8" s="8" t="str">
        <f>"000053"</f>
        <v>000053</v>
      </c>
      <c r="K8" s="7">
        <v>43532</v>
      </c>
      <c r="L8" s="8" t="str">
        <f>"000052"</f>
        <v>000052</v>
      </c>
      <c r="M8" s="7">
        <v>43537</v>
      </c>
      <c r="N8" s="8">
        <v>18</v>
      </c>
      <c r="O8" s="8" t="str">
        <f>"000865"</f>
        <v>000865</v>
      </c>
      <c r="P8" s="7">
        <v>43578</v>
      </c>
      <c r="Q8" s="10">
        <v>145.82434000000001</v>
      </c>
      <c r="R8" s="10">
        <v>15.447469999999999</v>
      </c>
      <c r="S8" s="10">
        <v>130.37687</v>
      </c>
      <c r="T8" s="8">
        <v>26</v>
      </c>
      <c r="U8" s="7">
        <v>43579</v>
      </c>
      <c r="V8" s="8">
        <v>7019753347</v>
      </c>
      <c r="W8" s="9" t="s">
        <v>43</v>
      </c>
      <c r="X8" s="8" t="s">
        <v>41</v>
      </c>
      <c r="Y8" s="9" t="s">
        <v>42</v>
      </c>
      <c r="Z8" s="8" t="s">
        <v>44</v>
      </c>
      <c r="AA8" s="9" t="s">
        <v>45</v>
      </c>
      <c r="AB8" s="10">
        <f t="shared" si="0"/>
        <v>1.4582434</v>
      </c>
    </row>
    <row r="9" spans="1:28" s="4" customFormat="1" ht="13" x14ac:dyDescent="0.3">
      <c r="A9" s="5">
        <v>2445</v>
      </c>
      <c r="B9" s="6" t="s">
        <v>28</v>
      </c>
      <c r="C9" s="7">
        <v>43581</v>
      </c>
      <c r="D9" s="8">
        <v>70</v>
      </c>
      <c r="E9" s="9" t="s">
        <v>53</v>
      </c>
      <c r="F9" s="8" t="s">
        <v>68</v>
      </c>
      <c r="G9" s="9" t="s">
        <v>69</v>
      </c>
      <c r="H9" s="8" t="str">
        <f>"000236"</f>
        <v>000236</v>
      </c>
      <c r="I9" s="7">
        <v>43153</v>
      </c>
      <c r="J9" s="8" t="str">
        <f>"000069"</f>
        <v>000069</v>
      </c>
      <c r="K9" s="7">
        <v>43342</v>
      </c>
      <c r="L9" s="8" t="str">
        <f>"000180"</f>
        <v>000180</v>
      </c>
      <c r="M9" s="7">
        <v>43343</v>
      </c>
      <c r="N9" s="8">
        <v>18</v>
      </c>
      <c r="O9" s="8" t="str">
        <f>"000910"</f>
        <v>000910</v>
      </c>
      <c r="P9" s="7">
        <v>43579</v>
      </c>
      <c r="Q9" s="10">
        <v>49.031840000000003</v>
      </c>
      <c r="R9" s="10">
        <v>1.95814</v>
      </c>
      <c r="S9" s="10">
        <v>47.073700000000002</v>
      </c>
      <c r="T9" s="8">
        <v>30</v>
      </c>
      <c r="U9" s="7">
        <v>43581</v>
      </c>
      <c r="V9" s="8">
        <v>9731165077</v>
      </c>
      <c r="W9" s="9" t="s">
        <v>70</v>
      </c>
      <c r="X9" s="8" t="s">
        <v>39</v>
      </c>
      <c r="Y9" s="9" t="s">
        <v>40</v>
      </c>
      <c r="Z9" s="8" t="s">
        <v>71</v>
      </c>
      <c r="AA9" s="9" t="s">
        <v>72</v>
      </c>
      <c r="AB9" s="10">
        <f t="shared" si="0"/>
        <v>0.49031840000000004</v>
      </c>
    </row>
    <row r="10" spans="1:28" s="4" customFormat="1" ht="13" x14ac:dyDescent="0.3">
      <c r="A10" s="5">
        <v>2446</v>
      </c>
      <c r="B10" s="6" t="s">
        <v>28</v>
      </c>
      <c r="C10" s="7">
        <v>43581</v>
      </c>
      <c r="D10" s="8">
        <v>70</v>
      </c>
      <c r="E10" s="9" t="s">
        <v>53</v>
      </c>
      <c r="F10" s="8" t="s">
        <v>73</v>
      </c>
      <c r="G10" s="9" t="s">
        <v>74</v>
      </c>
      <c r="H10" s="8" t="str">
        <f>"000235"</f>
        <v>000235</v>
      </c>
      <c r="I10" s="7">
        <v>43153</v>
      </c>
      <c r="J10" s="8" t="str">
        <f>"000068"</f>
        <v>000068</v>
      </c>
      <c r="K10" s="7">
        <v>43342</v>
      </c>
      <c r="L10" s="8" t="str">
        <f>"000181"</f>
        <v>000181</v>
      </c>
      <c r="M10" s="7">
        <v>43343</v>
      </c>
      <c r="N10" s="8">
        <v>18</v>
      </c>
      <c r="O10" s="8" t="str">
        <f>"000923"</f>
        <v>000923</v>
      </c>
      <c r="P10" s="7">
        <v>43579</v>
      </c>
      <c r="Q10" s="10">
        <v>49.001440000000002</v>
      </c>
      <c r="R10" s="10">
        <v>1.9472100000000001</v>
      </c>
      <c r="S10" s="10">
        <v>47.054229999999997</v>
      </c>
      <c r="T10" s="8">
        <v>30</v>
      </c>
      <c r="U10" s="7">
        <v>43581</v>
      </c>
      <c r="V10" s="8">
        <v>9731165077</v>
      </c>
      <c r="W10" s="9" t="s">
        <v>75</v>
      </c>
      <c r="X10" s="8" t="s">
        <v>39</v>
      </c>
      <c r="Y10" s="9" t="s">
        <v>40</v>
      </c>
      <c r="Z10" s="8" t="s">
        <v>71</v>
      </c>
      <c r="AA10" s="9" t="s">
        <v>72</v>
      </c>
      <c r="AB10" s="10">
        <f t="shared" si="0"/>
        <v>0.49001440000000002</v>
      </c>
    </row>
    <row r="11" spans="1:28" s="4" customFormat="1" ht="13" x14ac:dyDescent="0.3">
      <c r="A11" s="5">
        <v>2447</v>
      </c>
      <c r="B11" s="6" t="s">
        <v>34</v>
      </c>
      <c r="C11" s="7">
        <v>43588</v>
      </c>
      <c r="D11" s="8">
        <v>70</v>
      </c>
      <c r="E11" s="9" t="s">
        <v>53</v>
      </c>
      <c r="F11" s="8" t="s">
        <v>80</v>
      </c>
      <c r="G11" s="9" t="s">
        <v>81</v>
      </c>
      <c r="H11" s="8" t="str">
        <f>"000014"</f>
        <v>000014</v>
      </c>
      <c r="I11" s="7">
        <v>43358</v>
      </c>
      <c r="J11" s="8" t="str">
        <f>"000034"</f>
        <v>000034</v>
      </c>
      <c r="K11" s="7">
        <v>43423</v>
      </c>
      <c r="L11" s="8" t="str">
        <f>"000031"</f>
        <v>000031</v>
      </c>
      <c r="M11" s="7">
        <v>43424</v>
      </c>
      <c r="N11" s="8">
        <v>18</v>
      </c>
      <c r="O11" s="8" t="str">
        <f>"008419"</f>
        <v>008419</v>
      </c>
      <c r="P11" s="7">
        <v>43463</v>
      </c>
      <c r="Q11" s="10">
        <v>51.389530000000001</v>
      </c>
      <c r="R11" s="10">
        <v>5.5756899999999998</v>
      </c>
      <c r="S11" s="10">
        <v>45.813839999999999</v>
      </c>
      <c r="T11" s="8">
        <v>33</v>
      </c>
      <c r="U11" s="7">
        <v>43588</v>
      </c>
      <c r="V11" s="8">
        <v>9972999991</v>
      </c>
      <c r="W11" s="9" t="s">
        <v>43</v>
      </c>
      <c r="X11" s="8" t="s">
        <v>41</v>
      </c>
      <c r="Y11" s="9" t="s">
        <v>42</v>
      </c>
      <c r="Z11" s="8" t="s">
        <v>44</v>
      </c>
      <c r="AA11" s="9" t="s">
        <v>45</v>
      </c>
      <c r="AB11" s="10">
        <f t="shared" si="0"/>
        <v>0.51389530000000005</v>
      </c>
    </row>
    <row r="12" spans="1:28" s="4" customFormat="1" ht="13" x14ac:dyDescent="0.3">
      <c r="A12" s="5">
        <v>2448</v>
      </c>
      <c r="B12" s="6" t="s">
        <v>34</v>
      </c>
      <c r="C12" s="7">
        <v>43588</v>
      </c>
      <c r="D12" s="8">
        <v>70</v>
      </c>
      <c r="E12" s="9" t="s">
        <v>53</v>
      </c>
      <c r="F12" s="8" t="s">
        <v>82</v>
      </c>
      <c r="G12" s="9" t="s">
        <v>83</v>
      </c>
      <c r="H12" s="8" t="str">
        <f>"000012"</f>
        <v>000012</v>
      </c>
      <c r="I12" s="7">
        <v>43350</v>
      </c>
      <c r="J12" s="8" t="str">
        <f>"000033"</f>
        <v>000033</v>
      </c>
      <c r="K12" s="7">
        <v>43423</v>
      </c>
      <c r="L12" s="8" t="str">
        <f>"000032"</f>
        <v>000032</v>
      </c>
      <c r="M12" s="7">
        <v>43424</v>
      </c>
      <c r="N12" s="8">
        <v>18</v>
      </c>
      <c r="O12" s="8" t="str">
        <f>"008421"</f>
        <v>008421</v>
      </c>
      <c r="P12" s="7">
        <v>43463</v>
      </c>
      <c r="Q12" s="10">
        <v>24.4665</v>
      </c>
      <c r="R12" s="10">
        <v>2.6014499999999998</v>
      </c>
      <c r="S12" s="10">
        <v>21.86505</v>
      </c>
      <c r="T12" s="8">
        <v>33</v>
      </c>
      <c r="U12" s="7">
        <v>43588</v>
      </c>
      <c r="V12" s="8">
        <v>9972999991</v>
      </c>
      <c r="W12" s="9" t="s">
        <v>43</v>
      </c>
      <c r="X12" s="8" t="s">
        <v>41</v>
      </c>
      <c r="Y12" s="9" t="s">
        <v>42</v>
      </c>
      <c r="Z12" s="8" t="s">
        <v>44</v>
      </c>
      <c r="AA12" s="9" t="s">
        <v>45</v>
      </c>
      <c r="AB12" s="10">
        <f t="shared" si="0"/>
        <v>0.24466499999999999</v>
      </c>
    </row>
    <row r="13" spans="1:28" s="4" customFormat="1" ht="13" x14ac:dyDescent="0.3">
      <c r="A13" s="5">
        <v>2449</v>
      </c>
      <c r="B13" s="6" t="s">
        <v>34</v>
      </c>
      <c r="C13" s="7">
        <v>43588</v>
      </c>
      <c r="D13" s="8">
        <v>70</v>
      </c>
      <c r="E13" s="9" t="s">
        <v>53</v>
      </c>
      <c r="F13" s="8" t="s">
        <v>84</v>
      </c>
      <c r="G13" s="9" t="s">
        <v>85</v>
      </c>
      <c r="H13" s="8" t="str">
        <f>"000019"</f>
        <v>000019</v>
      </c>
      <c r="I13" s="7">
        <v>43388</v>
      </c>
      <c r="J13" s="8" t="str">
        <f>"000060"</f>
        <v>000060</v>
      </c>
      <c r="K13" s="7">
        <v>43545</v>
      </c>
      <c r="L13" s="8" t="str">
        <f>"000056"</f>
        <v>000056</v>
      </c>
      <c r="M13" s="7">
        <v>43553</v>
      </c>
      <c r="N13" s="8">
        <v>18</v>
      </c>
      <c r="O13" s="8" t="str">
        <f>"001010"</f>
        <v>001010</v>
      </c>
      <c r="P13" s="7">
        <v>43580</v>
      </c>
      <c r="Q13" s="10">
        <v>63.946959999999997</v>
      </c>
      <c r="R13" s="10">
        <v>6.7365199999999996</v>
      </c>
      <c r="S13" s="10">
        <v>57.210439999999998</v>
      </c>
      <c r="T13" s="8">
        <v>33</v>
      </c>
      <c r="U13" s="7">
        <v>43588</v>
      </c>
      <c r="V13" s="8">
        <v>9972999991</v>
      </c>
      <c r="W13" s="9" t="s">
        <v>43</v>
      </c>
      <c r="X13" s="8" t="s">
        <v>41</v>
      </c>
      <c r="Y13" s="9" t="s">
        <v>42</v>
      </c>
      <c r="Z13" s="8" t="s">
        <v>44</v>
      </c>
      <c r="AA13" s="9" t="s">
        <v>45</v>
      </c>
      <c r="AB13" s="10">
        <f t="shared" si="0"/>
        <v>0.63946959999999997</v>
      </c>
    </row>
    <row r="14" spans="1:28" s="4" customFormat="1" ht="13" x14ac:dyDescent="0.3">
      <c r="A14" s="5">
        <v>2450</v>
      </c>
      <c r="B14" s="6" t="s">
        <v>34</v>
      </c>
      <c r="C14" s="7">
        <v>43588</v>
      </c>
      <c r="D14" s="8">
        <v>70</v>
      </c>
      <c r="E14" s="9" t="s">
        <v>53</v>
      </c>
      <c r="F14" s="8" t="s">
        <v>86</v>
      </c>
      <c r="G14" s="9" t="s">
        <v>87</v>
      </c>
      <c r="H14" s="8" t="str">
        <f>"000025"</f>
        <v>000025</v>
      </c>
      <c r="I14" s="7">
        <v>43389</v>
      </c>
      <c r="J14" s="8" t="str">
        <f>"000057"</f>
        <v>000057</v>
      </c>
      <c r="K14" s="7">
        <v>43545</v>
      </c>
      <c r="L14" s="8" t="str">
        <f>"000060"</f>
        <v>000060</v>
      </c>
      <c r="M14" s="7">
        <v>43554</v>
      </c>
      <c r="N14" s="8">
        <v>18</v>
      </c>
      <c r="O14" s="8" t="str">
        <f>"001011"</f>
        <v>001011</v>
      </c>
      <c r="P14" s="7">
        <v>43580</v>
      </c>
      <c r="Q14" s="10">
        <v>15.25915</v>
      </c>
      <c r="R14" s="10">
        <v>1.6560999999999999</v>
      </c>
      <c r="S14" s="10">
        <v>13.60305</v>
      </c>
      <c r="T14" s="8">
        <v>33</v>
      </c>
      <c r="U14" s="7">
        <v>43588</v>
      </c>
      <c r="V14" s="8">
        <v>9972999991</v>
      </c>
      <c r="W14" s="9" t="s">
        <v>43</v>
      </c>
      <c r="X14" s="8" t="s">
        <v>41</v>
      </c>
      <c r="Y14" s="9" t="s">
        <v>42</v>
      </c>
      <c r="Z14" s="8" t="s">
        <v>44</v>
      </c>
      <c r="AA14" s="9" t="s">
        <v>45</v>
      </c>
      <c r="AB14" s="10">
        <f t="shared" si="0"/>
        <v>0.15259149999999999</v>
      </c>
    </row>
    <row r="15" spans="1:28" s="4" customFormat="1" ht="13" x14ac:dyDescent="0.3">
      <c r="A15" s="5">
        <v>2451</v>
      </c>
      <c r="B15" s="6" t="s">
        <v>34</v>
      </c>
      <c r="C15" s="7">
        <v>43588</v>
      </c>
      <c r="D15" s="8">
        <v>70</v>
      </c>
      <c r="E15" s="9" t="s">
        <v>53</v>
      </c>
      <c r="F15" s="8" t="s">
        <v>88</v>
      </c>
      <c r="G15" s="9" t="s">
        <v>89</v>
      </c>
      <c r="H15" s="8" t="str">
        <f>"000020"</f>
        <v>000020</v>
      </c>
      <c r="I15" s="7">
        <v>43388</v>
      </c>
      <c r="J15" s="8" t="str">
        <f>"000058"</f>
        <v>000058</v>
      </c>
      <c r="K15" s="7">
        <v>43545</v>
      </c>
      <c r="L15" s="8" t="str">
        <f>"000059"</f>
        <v>000059</v>
      </c>
      <c r="M15" s="7">
        <v>43553</v>
      </c>
      <c r="N15" s="8">
        <v>18</v>
      </c>
      <c r="O15" s="8" t="str">
        <f>"001012"</f>
        <v>001012</v>
      </c>
      <c r="P15" s="7">
        <v>43580</v>
      </c>
      <c r="Q15" s="10">
        <v>21.636109999999999</v>
      </c>
      <c r="R15" s="10">
        <v>2.2549800000000002</v>
      </c>
      <c r="S15" s="10">
        <v>19.381129999999999</v>
      </c>
      <c r="T15" s="8">
        <v>33</v>
      </c>
      <c r="U15" s="7">
        <v>43588</v>
      </c>
      <c r="V15" s="8">
        <v>9972999991</v>
      </c>
      <c r="W15" s="9" t="s">
        <v>43</v>
      </c>
      <c r="X15" s="8" t="s">
        <v>41</v>
      </c>
      <c r="Y15" s="9" t="s">
        <v>42</v>
      </c>
      <c r="Z15" s="8" t="s">
        <v>44</v>
      </c>
      <c r="AA15" s="9" t="s">
        <v>45</v>
      </c>
      <c r="AB15" s="10">
        <f t="shared" si="0"/>
        <v>0.21636109999999997</v>
      </c>
    </row>
    <row r="16" spans="1:28" s="4" customFormat="1" ht="13" x14ac:dyDescent="0.3">
      <c r="A16" s="5">
        <v>2452</v>
      </c>
      <c r="B16" s="6" t="s">
        <v>34</v>
      </c>
      <c r="C16" s="7">
        <v>43588</v>
      </c>
      <c r="D16" s="8">
        <v>70</v>
      </c>
      <c r="E16" s="9" t="s">
        <v>53</v>
      </c>
      <c r="F16" s="8" t="s">
        <v>90</v>
      </c>
      <c r="G16" s="9" t="s">
        <v>91</v>
      </c>
      <c r="H16" s="8" t="str">
        <f>"000193"</f>
        <v>000193</v>
      </c>
      <c r="I16" s="7">
        <v>43119</v>
      </c>
      <c r="J16" s="8" t="str">
        <f>"000095"</f>
        <v>000095</v>
      </c>
      <c r="K16" s="7">
        <v>43517</v>
      </c>
      <c r="L16" s="8" t="str">
        <f>"000334"</f>
        <v>000334</v>
      </c>
      <c r="M16" s="7">
        <v>43538</v>
      </c>
      <c r="N16" s="8">
        <v>17</v>
      </c>
      <c r="O16" s="8" t="str">
        <f>"001014"</f>
        <v>001014</v>
      </c>
      <c r="P16" s="7">
        <v>43580</v>
      </c>
      <c r="Q16" s="10">
        <v>39.187829999999998</v>
      </c>
      <c r="R16" s="10">
        <v>2.49763</v>
      </c>
      <c r="S16" s="10">
        <v>36.690199999999997</v>
      </c>
      <c r="T16" s="8">
        <v>33</v>
      </c>
      <c r="U16" s="7">
        <v>43588</v>
      </c>
      <c r="V16" s="8">
        <v>9731165077</v>
      </c>
      <c r="W16" s="9" t="s">
        <v>92</v>
      </c>
      <c r="X16" s="8" t="s">
        <v>51</v>
      </c>
      <c r="Y16" s="9" t="s">
        <v>52</v>
      </c>
      <c r="Z16" s="8" t="s">
        <v>71</v>
      </c>
      <c r="AA16" s="9" t="s">
        <v>72</v>
      </c>
      <c r="AB16" s="10">
        <f t="shared" si="0"/>
        <v>0.39187829999999996</v>
      </c>
    </row>
    <row r="17" spans="1:28" s="4" customFormat="1" ht="13" x14ac:dyDescent="0.3">
      <c r="A17" s="5">
        <v>2453</v>
      </c>
      <c r="B17" s="6" t="s">
        <v>34</v>
      </c>
      <c r="C17" s="7">
        <v>43588</v>
      </c>
      <c r="D17" s="8">
        <v>70</v>
      </c>
      <c r="E17" s="9" t="s">
        <v>53</v>
      </c>
      <c r="F17" s="8" t="s">
        <v>93</v>
      </c>
      <c r="G17" s="9" t="s">
        <v>94</v>
      </c>
      <c r="H17" s="8" t="str">
        <f>"000194"</f>
        <v>000194</v>
      </c>
      <c r="I17" s="7">
        <v>43119</v>
      </c>
      <c r="J17" s="8" t="str">
        <f>"000096"</f>
        <v>000096</v>
      </c>
      <c r="K17" s="7">
        <v>43517</v>
      </c>
      <c r="L17" s="8" t="str">
        <f>"000335"</f>
        <v>000335</v>
      </c>
      <c r="M17" s="7">
        <v>43538</v>
      </c>
      <c r="N17" s="8">
        <v>17</v>
      </c>
      <c r="O17" s="8" t="str">
        <f>"001015"</f>
        <v>001015</v>
      </c>
      <c r="P17" s="7">
        <v>43580</v>
      </c>
      <c r="Q17" s="10">
        <v>44.940399999999997</v>
      </c>
      <c r="R17" s="10">
        <v>2.8186399999999998</v>
      </c>
      <c r="S17" s="10">
        <v>42.121760000000002</v>
      </c>
      <c r="T17" s="8">
        <v>33</v>
      </c>
      <c r="U17" s="7">
        <v>43588</v>
      </c>
      <c r="V17" s="8">
        <v>9731165077</v>
      </c>
      <c r="W17" s="9" t="s">
        <v>92</v>
      </c>
      <c r="X17" s="8" t="s">
        <v>51</v>
      </c>
      <c r="Y17" s="9" t="s">
        <v>52</v>
      </c>
      <c r="Z17" s="8" t="s">
        <v>71</v>
      </c>
      <c r="AA17" s="9" t="s">
        <v>72</v>
      </c>
      <c r="AB17" s="10">
        <f t="shared" si="0"/>
        <v>0.44940399999999997</v>
      </c>
    </row>
    <row r="18" spans="1:28" s="4" customFormat="1" ht="13" x14ac:dyDescent="0.3">
      <c r="A18" s="5">
        <v>2454</v>
      </c>
      <c r="B18" s="6" t="s">
        <v>34</v>
      </c>
      <c r="C18" s="7">
        <v>43588</v>
      </c>
      <c r="D18" s="8">
        <v>70</v>
      </c>
      <c r="E18" s="9" t="s">
        <v>53</v>
      </c>
      <c r="F18" s="8" t="s">
        <v>95</v>
      </c>
      <c r="G18" s="9" t="s">
        <v>96</v>
      </c>
      <c r="H18" s="8" t="str">
        <f>"000017"</f>
        <v>000017</v>
      </c>
      <c r="I18" s="7">
        <v>43374</v>
      </c>
      <c r="J18" s="8" t="str">
        <f>"000005"</f>
        <v>000005</v>
      </c>
      <c r="K18" s="7">
        <v>43571</v>
      </c>
      <c r="L18" s="8" t="str">
        <f>"000006"</f>
        <v>000006</v>
      </c>
      <c r="M18" s="7">
        <v>43571</v>
      </c>
      <c r="N18" s="8">
        <v>18</v>
      </c>
      <c r="O18" s="8" t="str">
        <f>"001178"</f>
        <v>001178</v>
      </c>
      <c r="P18" s="7">
        <v>43581</v>
      </c>
      <c r="Q18" s="10">
        <v>0.35365000000000002</v>
      </c>
      <c r="R18" s="10">
        <v>2.8639999999999999E-2</v>
      </c>
      <c r="S18" s="10">
        <v>0.32501000000000002</v>
      </c>
      <c r="T18" s="8">
        <v>33</v>
      </c>
      <c r="U18" s="7">
        <v>43588</v>
      </c>
      <c r="V18" s="8">
        <v>8553960114</v>
      </c>
      <c r="W18" s="9" t="s">
        <v>97</v>
      </c>
      <c r="X18" s="8" t="s">
        <v>41</v>
      </c>
      <c r="Y18" s="9" t="s">
        <v>42</v>
      </c>
      <c r="Z18" s="8" t="s">
        <v>44</v>
      </c>
      <c r="AA18" s="9" t="s">
        <v>45</v>
      </c>
      <c r="AB18" s="10">
        <f t="shared" si="0"/>
        <v>3.5365000000000001E-3</v>
      </c>
    </row>
    <row r="19" spans="1:28" s="4" customFormat="1" ht="13" x14ac:dyDescent="0.3">
      <c r="A19" s="5">
        <v>2455</v>
      </c>
      <c r="B19" s="6" t="s">
        <v>34</v>
      </c>
      <c r="C19" s="7">
        <v>43588</v>
      </c>
      <c r="D19" s="8">
        <v>70</v>
      </c>
      <c r="E19" s="9" t="s">
        <v>53</v>
      </c>
      <c r="F19" s="8" t="s">
        <v>98</v>
      </c>
      <c r="G19" s="9" t="s">
        <v>99</v>
      </c>
      <c r="H19" s="8" t="str">
        <f>"000032"</f>
        <v>000032</v>
      </c>
      <c r="I19" s="7">
        <v>43466</v>
      </c>
      <c r="J19" s="8" t="str">
        <f>"000004"</f>
        <v>000004</v>
      </c>
      <c r="K19" s="7">
        <v>43571</v>
      </c>
      <c r="L19" s="8" t="str">
        <f>"000004"</f>
        <v>000004</v>
      </c>
      <c r="M19" s="7">
        <v>43571</v>
      </c>
      <c r="N19" s="8">
        <v>18</v>
      </c>
      <c r="O19" s="8" t="str">
        <f>"001190"</f>
        <v>001190</v>
      </c>
      <c r="P19" s="7">
        <v>43582</v>
      </c>
      <c r="Q19" s="10">
        <v>39.246250000000003</v>
      </c>
      <c r="R19" s="10">
        <v>3.7837299999999998</v>
      </c>
      <c r="S19" s="10">
        <v>35.462519999999998</v>
      </c>
      <c r="T19" s="8">
        <v>33</v>
      </c>
      <c r="U19" s="7">
        <v>43588</v>
      </c>
      <c r="V19" s="8">
        <v>7019753347</v>
      </c>
      <c r="W19" s="9" t="s">
        <v>43</v>
      </c>
      <c r="X19" s="8" t="s">
        <v>41</v>
      </c>
      <c r="Y19" s="9" t="s">
        <v>42</v>
      </c>
      <c r="Z19" s="8" t="s">
        <v>44</v>
      </c>
      <c r="AA19" s="9" t="s">
        <v>45</v>
      </c>
      <c r="AB19" s="10">
        <f t="shared" si="0"/>
        <v>0.39246250000000005</v>
      </c>
    </row>
    <row r="20" spans="1:28" s="4" customFormat="1" ht="13" x14ac:dyDescent="0.3">
      <c r="A20" s="5">
        <v>2456</v>
      </c>
      <c r="B20" s="6" t="s">
        <v>34</v>
      </c>
      <c r="C20" s="7">
        <v>43588</v>
      </c>
      <c r="D20" s="8">
        <v>70</v>
      </c>
      <c r="E20" s="9" t="s">
        <v>53</v>
      </c>
      <c r="F20" s="8" t="s">
        <v>100</v>
      </c>
      <c r="G20" s="9" t="s">
        <v>101</v>
      </c>
      <c r="H20" s="8" t="str">
        <f>"000031"</f>
        <v>000031</v>
      </c>
      <c r="I20" s="7">
        <v>43428</v>
      </c>
      <c r="J20" s="8" t="str">
        <f>"000006"</f>
        <v>000006</v>
      </c>
      <c r="K20" s="7">
        <v>43571</v>
      </c>
      <c r="L20" s="8" t="str">
        <f>"000005"</f>
        <v>000005</v>
      </c>
      <c r="M20" s="7">
        <v>43571</v>
      </c>
      <c r="N20" s="8">
        <v>18</v>
      </c>
      <c r="O20" s="8" t="str">
        <f>"001192"</f>
        <v>001192</v>
      </c>
      <c r="P20" s="7">
        <v>43582</v>
      </c>
      <c r="Q20" s="10">
        <v>23.706890000000001</v>
      </c>
      <c r="R20" s="10">
        <v>2.2224699999999999</v>
      </c>
      <c r="S20" s="10">
        <v>21.48442</v>
      </c>
      <c r="T20" s="8">
        <v>33</v>
      </c>
      <c r="U20" s="7">
        <v>43588</v>
      </c>
      <c r="V20" s="8">
        <v>9972111113</v>
      </c>
      <c r="W20" s="9" t="s">
        <v>46</v>
      </c>
      <c r="X20" s="8" t="s">
        <v>41</v>
      </c>
      <c r="Y20" s="9" t="s">
        <v>42</v>
      </c>
      <c r="Z20" s="8" t="s">
        <v>44</v>
      </c>
      <c r="AA20" s="9" t="s">
        <v>45</v>
      </c>
      <c r="AB20" s="10">
        <f t="shared" si="0"/>
        <v>0.23706890000000003</v>
      </c>
    </row>
    <row r="21" spans="1:28" s="4" customFormat="1" ht="13" x14ac:dyDescent="0.3">
      <c r="A21" s="5">
        <v>2457</v>
      </c>
      <c r="B21" s="6" t="s">
        <v>34</v>
      </c>
      <c r="C21" s="7">
        <v>43601</v>
      </c>
      <c r="D21" s="8">
        <v>70</v>
      </c>
      <c r="E21" s="9" t="s">
        <v>53</v>
      </c>
      <c r="F21" s="8" t="s">
        <v>102</v>
      </c>
      <c r="G21" s="9" t="s">
        <v>103</v>
      </c>
      <c r="H21" s="8" t="str">
        <f>"000045"</f>
        <v>000045</v>
      </c>
      <c r="I21" s="7">
        <v>43552</v>
      </c>
      <c r="J21" s="8" t="str">
        <f>"000009"</f>
        <v>000009</v>
      </c>
      <c r="K21" s="7">
        <v>43571</v>
      </c>
      <c r="L21" s="8" t="str">
        <f>"000012"</f>
        <v>000012</v>
      </c>
      <c r="M21" s="7">
        <v>43585</v>
      </c>
      <c r="N21" s="8">
        <v>18</v>
      </c>
      <c r="O21" s="8" t="str">
        <f>"001625"</f>
        <v>001625</v>
      </c>
      <c r="P21" s="7">
        <v>43600</v>
      </c>
      <c r="Q21" s="10">
        <v>149.52679000000001</v>
      </c>
      <c r="R21" s="10">
        <v>13.29752</v>
      </c>
      <c r="S21" s="10">
        <v>136.22927000000001</v>
      </c>
      <c r="T21" s="8">
        <v>47</v>
      </c>
      <c r="U21" s="7">
        <v>43601</v>
      </c>
      <c r="V21" s="8">
        <v>7019753347</v>
      </c>
      <c r="W21" s="9" t="s">
        <v>43</v>
      </c>
      <c r="X21" s="8" t="s">
        <v>41</v>
      </c>
      <c r="Y21" s="9" t="s">
        <v>42</v>
      </c>
      <c r="Z21" s="8" t="s">
        <v>44</v>
      </c>
      <c r="AA21" s="9" t="s">
        <v>45</v>
      </c>
      <c r="AB21" s="10">
        <f t="shared" si="0"/>
        <v>1.4952679</v>
      </c>
    </row>
    <row r="22" spans="1:28" s="4" customFormat="1" ht="13" x14ac:dyDescent="0.3">
      <c r="A22" s="5">
        <v>2458</v>
      </c>
      <c r="B22" s="6" t="s">
        <v>34</v>
      </c>
      <c r="C22" s="7">
        <v>43602</v>
      </c>
      <c r="D22" s="8">
        <v>70</v>
      </c>
      <c r="E22" s="9" t="s">
        <v>53</v>
      </c>
      <c r="F22" s="8" t="s">
        <v>104</v>
      </c>
      <c r="G22" s="9" t="s">
        <v>105</v>
      </c>
      <c r="H22" s="8" t="str">
        <f>"000110"</f>
        <v>000110</v>
      </c>
      <c r="I22" s="7">
        <v>42907</v>
      </c>
      <c r="J22" s="8" t="str">
        <f>"000002"</f>
        <v>000002</v>
      </c>
      <c r="K22" s="7">
        <v>42985</v>
      </c>
      <c r="L22" s="8" t="str">
        <f>"000010"</f>
        <v>000010</v>
      </c>
      <c r="M22" s="7">
        <v>42991</v>
      </c>
      <c r="N22" s="8">
        <v>17</v>
      </c>
      <c r="O22" s="8" t="str">
        <f>"001539"</f>
        <v>001539</v>
      </c>
      <c r="P22" s="7">
        <v>43599</v>
      </c>
      <c r="Q22" s="10">
        <v>13.13273</v>
      </c>
      <c r="R22" s="10">
        <v>0.43391000000000002</v>
      </c>
      <c r="S22" s="10">
        <v>12.69882</v>
      </c>
      <c r="T22" s="8">
        <v>49</v>
      </c>
      <c r="U22" s="7">
        <v>43602</v>
      </c>
      <c r="V22" s="8">
        <v>9845187283</v>
      </c>
      <c r="W22" s="9" t="s">
        <v>106</v>
      </c>
      <c r="X22" s="8" t="s">
        <v>32</v>
      </c>
      <c r="Y22" s="9" t="s">
        <v>33</v>
      </c>
      <c r="Z22" s="8" t="s">
        <v>71</v>
      </c>
      <c r="AA22" s="9" t="s">
        <v>72</v>
      </c>
      <c r="AB22" s="10">
        <f t="shared" si="0"/>
        <v>0.13132730000000001</v>
      </c>
    </row>
    <row r="23" spans="1:28" s="4" customFormat="1" ht="13" x14ac:dyDescent="0.3">
      <c r="A23" s="5">
        <v>2459</v>
      </c>
      <c r="B23" s="6" t="s">
        <v>34</v>
      </c>
      <c r="C23" s="7">
        <v>43602</v>
      </c>
      <c r="D23" s="8">
        <v>70</v>
      </c>
      <c r="E23" s="9" t="s">
        <v>53</v>
      </c>
      <c r="F23" s="8" t="s">
        <v>107</v>
      </c>
      <c r="G23" s="9" t="s">
        <v>108</v>
      </c>
      <c r="H23" s="8" t="str">
        <f>"000109"</f>
        <v>000109</v>
      </c>
      <c r="I23" s="7">
        <v>42907</v>
      </c>
      <c r="J23" s="8" t="str">
        <f>"000003"</f>
        <v>000003</v>
      </c>
      <c r="K23" s="7">
        <v>42985</v>
      </c>
      <c r="L23" s="8" t="str">
        <f>"000011"</f>
        <v>000011</v>
      </c>
      <c r="M23" s="7">
        <v>42991</v>
      </c>
      <c r="N23" s="8">
        <v>17</v>
      </c>
      <c r="O23" s="8" t="str">
        <f>"001540"</f>
        <v>001540</v>
      </c>
      <c r="P23" s="7">
        <v>43599</v>
      </c>
      <c r="Q23" s="10">
        <v>13.29571</v>
      </c>
      <c r="R23" s="10">
        <v>0.43541999999999997</v>
      </c>
      <c r="S23" s="10">
        <v>12.860290000000001</v>
      </c>
      <c r="T23" s="8">
        <v>49</v>
      </c>
      <c r="U23" s="7">
        <v>43602</v>
      </c>
      <c r="V23" s="8">
        <v>9845187283</v>
      </c>
      <c r="W23" s="9" t="s">
        <v>106</v>
      </c>
      <c r="X23" s="8" t="s">
        <v>32</v>
      </c>
      <c r="Y23" s="9" t="s">
        <v>33</v>
      </c>
      <c r="Z23" s="8" t="s">
        <v>71</v>
      </c>
      <c r="AA23" s="9" t="s">
        <v>72</v>
      </c>
      <c r="AB23" s="10">
        <f t="shared" si="0"/>
        <v>0.13295709999999999</v>
      </c>
    </row>
    <row r="24" spans="1:28" s="4" customFormat="1" ht="13" x14ac:dyDescent="0.3">
      <c r="A24" s="5">
        <v>2460</v>
      </c>
      <c r="B24" s="6" t="s">
        <v>34</v>
      </c>
      <c r="C24" s="7">
        <v>43603</v>
      </c>
      <c r="D24" s="8">
        <v>70</v>
      </c>
      <c r="E24" s="9" t="s">
        <v>53</v>
      </c>
      <c r="F24" s="8" t="s">
        <v>109</v>
      </c>
      <c r="G24" s="9" t="s">
        <v>110</v>
      </c>
      <c r="H24" s="8" t="str">
        <f>"000080"</f>
        <v>000080</v>
      </c>
      <c r="I24" s="7">
        <v>42870</v>
      </c>
      <c r="J24" s="8" t="str">
        <f>"000005"</f>
        <v>000005</v>
      </c>
      <c r="K24" s="7">
        <v>43005</v>
      </c>
      <c r="L24" s="8" t="str">
        <f>"000029"</f>
        <v>000029</v>
      </c>
      <c r="M24" s="7">
        <v>43017</v>
      </c>
      <c r="N24" s="8">
        <v>17</v>
      </c>
      <c r="O24" s="8" t="str">
        <f>"001701"</f>
        <v>001701</v>
      </c>
      <c r="P24" s="7">
        <v>43602</v>
      </c>
      <c r="Q24" s="10">
        <v>13.44284</v>
      </c>
      <c r="R24" s="10">
        <v>0.47132000000000002</v>
      </c>
      <c r="S24" s="10">
        <v>12.97152</v>
      </c>
      <c r="T24" s="8">
        <v>50</v>
      </c>
      <c r="U24" s="7">
        <v>43603</v>
      </c>
      <c r="V24" s="8">
        <v>9845187283</v>
      </c>
      <c r="W24" s="9" t="s">
        <v>111</v>
      </c>
      <c r="X24" s="8" t="s">
        <v>32</v>
      </c>
      <c r="Y24" s="9" t="s">
        <v>33</v>
      </c>
      <c r="Z24" s="8" t="s">
        <v>71</v>
      </c>
      <c r="AA24" s="9" t="s">
        <v>72</v>
      </c>
      <c r="AB24" s="10">
        <f t="shared" si="0"/>
        <v>0.1344284</v>
      </c>
    </row>
    <row r="25" spans="1:28" s="4" customFormat="1" ht="13" x14ac:dyDescent="0.3">
      <c r="A25" s="5">
        <v>2461</v>
      </c>
      <c r="B25" s="6" t="s">
        <v>34</v>
      </c>
      <c r="C25" s="7">
        <v>43603</v>
      </c>
      <c r="D25" s="8">
        <v>70</v>
      </c>
      <c r="E25" s="9" t="s">
        <v>53</v>
      </c>
      <c r="F25" s="8" t="s">
        <v>112</v>
      </c>
      <c r="G25" s="9" t="s">
        <v>113</v>
      </c>
      <c r="H25" s="8" t="str">
        <f>"00O077"</f>
        <v>00O077</v>
      </c>
      <c r="I25" s="7">
        <v>42870</v>
      </c>
      <c r="J25" s="8" t="str">
        <f>"000006"</f>
        <v>000006</v>
      </c>
      <c r="K25" s="7">
        <v>43021</v>
      </c>
      <c r="L25" s="8" t="str">
        <f>"000036"</f>
        <v>000036</v>
      </c>
      <c r="M25" s="7">
        <v>43024</v>
      </c>
      <c r="N25" s="8">
        <v>17</v>
      </c>
      <c r="O25" s="8" t="str">
        <f>"001703"</f>
        <v>001703</v>
      </c>
      <c r="P25" s="7">
        <v>43602</v>
      </c>
      <c r="Q25" s="10">
        <v>18.04701</v>
      </c>
      <c r="R25" s="10">
        <v>0.60458000000000001</v>
      </c>
      <c r="S25" s="10">
        <v>17.442430000000002</v>
      </c>
      <c r="T25" s="8">
        <v>50</v>
      </c>
      <c r="U25" s="7">
        <v>43603</v>
      </c>
      <c r="V25" s="8">
        <v>9880466655</v>
      </c>
      <c r="W25" s="9" t="s">
        <v>114</v>
      </c>
      <c r="X25" s="8" t="s">
        <v>32</v>
      </c>
      <c r="Y25" s="9" t="s">
        <v>33</v>
      </c>
      <c r="Z25" s="8" t="s">
        <v>71</v>
      </c>
      <c r="AA25" s="9" t="s">
        <v>72</v>
      </c>
      <c r="AB25" s="10">
        <f t="shared" si="0"/>
        <v>0.18047009999999999</v>
      </c>
    </row>
    <row r="26" spans="1:28" s="4" customFormat="1" ht="13" x14ac:dyDescent="0.3">
      <c r="A26" s="5">
        <v>2462</v>
      </c>
      <c r="B26" s="6" t="s">
        <v>34</v>
      </c>
      <c r="C26" s="7">
        <v>43606</v>
      </c>
      <c r="D26" s="8">
        <v>70</v>
      </c>
      <c r="E26" s="9" t="s">
        <v>53</v>
      </c>
      <c r="F26" s="8" t="s">
        <v>57</v>
      </c>
      <c r="G26" s="9" t="s">
        <v>58</v>
      </c>
      <c r="H26" s="8" t="str">
        <f>"00008A"</f>
        <v>00008A</v>
      </c>
      <c r="I26" s="7">
        <v>42697</v>
      </c>
      <c r="J26" s="8" t="str">
        <f>"000009"</f>
        <v>000009</v>
      </c>
      <c r="K26" s="7">
        <v>43088</v>
      </c>
      <c r="L26" s="8" t="str">
        <f>"000008"</f>
        <v>000008</v>
      </c>
      <c r="M26" s="7">
        <v>43088</v>
      </c>
      <c r="N26" s="8">
        <v>16</v>
      </c>
      <c r="O26" s="8" t="str">
        <f>"003739"</f>
        <v>003739</v>
      </c>
      <c r="P26" s="7">
        <v>43294</v>
      </c>
      <c r="Q26" s="10">
        <v>2.3394300000000001</v>
      </c>
      <c r="R26" s="10">
        <v>0.34111000000000002</v>
      </c>
      <c r="S26" s="10">
        <v>1.9983200000000001</v>
      </c>
      <c r="T26" s="8">
        <v>55</v>
      </c>
      <c r="U26" s="7">
        <v>43606</v>
      </c>
      <c r="V26" s="8">
        <v>9845937419</v>
      </c>
      <c r="W26" s="9" t="s">
        <v>59</v>
      </c>
      <c r="X26" s="8" t="s">
        <v>29</v>
      </c>
      <c r="Y26" s="9" t="s">
        <v>30</v>
      </c>
      <c r="Z26" s="8" t="s">
        <v>37</v>
      </c>
      <c r="AA26" s="9" t="s">
        <v>38</v>
      </c>
      <c r="AB26" s="10">
        <f t="shared" si="0"/>
        <v>2.33943E-2</v>
      </c>
    </row>
    <row r="27" spans="1:28" s="4" customFormat="1" ht="13" x14ac:dyDescent="0.3">
      <c r="A27" s="5">
        <v>2463</v>
      </c>
      <c r="B27" s="6" t="s">
        <v>34</v>
      </c>
      <c r="C27" s="7">
        <v>43615</v>
      </c>
      <c r="D27" s="8">
        <v>70</v>
      </c>
      <c r="E27" s="9" t="s">
        <v>53</v>
      </c>
      <c r="F27" s="8" t="s">
        <v>115</v>
      </c>
      <c r="G27" s="9" t="s">
        <v>116</v>
      </c>
      <c r="H27" s="8" t="str">
        <f>"000004"</f>
        <v>000004</v>
      </c>
      <c r="I27" s="7">
        <v>43195</v>
      </c>
      <c r="J27" s="8" t="str">
        <f>"000004"</f>
        <v>000004</v>
      </c>
      <c r="K27" s="7">
        <v>43263</v>
      </c>
      <c r="L27" s="8" t="str">
        <f>"000006"</f>
        <v>000006</v>
      </c>
      <c r="M27" s="7">
        <v>43278</v>
      </c>
      <c r="N27" s="8">
        <v>18</v>
      </c>
      <c r="O27" s="8" t="str">
        <f>"002277"</f>
        <v>002277</v>
      </c>
      <c r="P27" s="7">
        <v>43614</v>
      </c>
      <c r="Q27" s="10">
        <v>49.075800000000001</v>
      </c>
      <c r="R27" s="10">
        <v>4.4830699999999997</v>
      </c>
      <c r="S27" s="10">
        <v>44.592730000000003</v>
      </c>
      <c r="T27" s="8">
        <v>66</v>
      </c>
      <c r="U27" s="7">
        <v>43615</v>
      </c>
      <c r="V27" s="8">
        <v>9972019297</v>
      </c>
      <c r="W27" s="9" t="s">
        <v>46</v>
      </c>
      <c r="X27" s="8" t="s">
        <v>47</v>
      </c>
      <c r="Y27" s="9" t="s">
        <v>48</v>
      </c>
      <c r="Z27" s="8" t="s">
        <v>44</v>
      </c>
      <c r="AA27" s="9" t="s">
        <v>45</v>
      </c>
      <c r="AB27" s="10">
        <f t="shared" si="0"/>
        <v>0.49075800000000003</v>
      </c>
    </row>
    <row r="28" spans="1:28" s="4" customFormat="1" ht="13" x14ac:dyDescent="0.3">
      <c r="A28" s="5">
        <v>2464</v>
      </c>
      <c r="B28" s="6" t="s">
        <v>31</v>
      </c>
      <c r="C28" s="7">
        <v>43617</v>
      </c>
      <c r="D28" s="8">
        <v>70</v>
      </c>
      <c r="E28" s="9" t="s">
        <v>53</v>
      </c>
      <c r="F28" s="8" t="s">
        <v>76</v>
      </c>
      <c r="G28" s="9" t="s">
        <v>77</v>
      </c>
      <c r="H28" s="8" t="str">
        <f>"000049"</f>
        <v>000049</v>
      </c>
      <c r="I28" s="7">
        <v>43553</v>
      </c>
      <c r="J28" s="8" t="str">
        <f>"000021"</f>
        <v>000021</v>
      </c>
      <c r="K28" s="7">
        <v>43599</v>
      </c>
      <c r="L28" s="8" t="str">
        <f>"000014"</f>
        <v>000014</v>
      </c>
      <c r="M28" s="7">
        <v>43600</v>
      </c>
      <c r="N28" s="8">
        <v>18</v>
      </c>
      <c r="O28" s="8" t="str">
        <f>"002035"</f>
        <v>002035</v>
      </c>
      <c r="P28" s="7">
        <v>43609</v>
      </c>
      <c r="Q28" s="10">
        <v>129.25147999999999</v>
      </c>
      <c r="R28" s="10">
        <v>12.08976</v>
      </c>
      <c r="S28" s="10">
        <v>117.16172</v>
      </c>
      <c r="T28" s="8">
        <v>68</v>
      </c>
      <c r="U28" s="7">
        <v>43617</v>
      </c>
      <c r="V28" s="8">
        <v>7019753347</v>
      </c>
      <c r="W28" s="9" t="s">
        <v>43</v>
      </c>
      <c r="X28" s="8" t="s">
        <v>41</v>
      </c>
      <c r="Y28" s="9" t="s">
        <v>42</v>
      </c>
      <c r="Z28" s="8" t="s">
        <v>44</v>
      </c>
      <c r="AA28" s="9" t="s">
        <v>45</v>
      </c>
      <c r="AB28" s="10">
        <v>1.2925148</v>
      </c>
    </row>
    <row r="29" spans="1:28" s="4" customFormat="1" ht="13" x14ac:dyDescent="0.3">
      <c r="A29" s="5">
        <v>2465</v>
      </c>
      <c r="B29" s="6" t="s">
        <v>31</v>
      </c>
      <c r="C29" s="7">
        <v>43617</v>
      </c>
      <c r="D29" s="8">
        <v>70</v>
      </c>
      <c r="E29" s="9" t="s">
        <v>53</v>
      </c>
      <c r="F29" s="8" t="s">
        <v>64</v>
      </c>
      <c r="G29" s="9" t="s">
        <v>78</v>
      </c>
      <c r="H29" s="8" t="str">
        <f>"000043"</f>
        <v>000043</v>
      </c>
      <c r="I29" s="7">
        <v>43518</v>
      </c>
      <c r="J29" s="8" t="str">
        <f>"000023"</f>
        <v>000023</v>
      </c>
      <c r="K29" s="7">
        <v>43599</v>
      </c>
      <c r="L29" s="8" t="str">
        <f>"000013"</f>
        <v>000013</v>
      </c>
      <c r="M29" s="7">
        <v>43600</v>
      </c>
      <c r="N29" s="8">
        <v>18</v>
      </c>
      <c r="O29" s="8" t="str">
        <f>"002036"</f>
        <v>002036</v>
      </c>
      <c r="P29" s="7">
        <v>43609</v>
      </c>
      <c r="Q29" s="10">
        <v>12.382020000000001</v>
      </c>
      <c r="R29" s="10">
        <v>1.3632599999999999</v>
      </c>
      <c r="S29" s="10">
        <v>11.01876</v>
      </c>
      <c r="T29" s="8">
        <v>68</v>
      </c>
      <c r="U29" s="7">
        <v>43617</v>
      </c>
      <c r="V29" s="8">
        <v>7019753347</v>
      </c>
      <c r="W29" s="9" t="s">
        <v>43</v>
      </c>
      <c r="X29" s="8" t="s">
        <v>41</v>
      </c>
      <c r="Y29" s="9" t="s">
        <v>42</v>
      </c>
      <c r="Z29" s="8" t="s">
        <v>44</v>
      </c>
      <c r="AA29" s="9" t="s">
        <v>45</v>
      </c>
      <c r="AB29" s="10">
        <v>0.12382020000000001</v>
      </c>
    </row>
    <row r="30" spans="1:28" s="4" customFormat="1" ht="13" x14ac:dyDescent="0.3">
      <c r="A30" s="5">
        <v>2466</v>
      </c>
      <c r="B30" s="6" t="s">
        <v>31</v>
      </c>
      <c r="C30" s="7">
        <v>43617</v>
      </c>
      <c r="D30" s="8">
        <v>70</v>
      </c>
      <c r="E30" s="9" t="s">
        <v>53</v>
      </c>
      <c r="F30" s="8" t="s">
        <v>62</v>
      </c>
      <c r="G30" s="9" t="s">
        <v>79</v>
      </c>
      <c r="H30" s="8" t="str">
        <f>"000041"</f>
        <v>000041</v>
      </c>
      <c r="I30" s="7">
        <v>43518</v>
      </c>
      <c r="J30" s="8" t="str">
        <f>"000022"</f>
        <v>000022</v>
      </c>
      <c r="K30" s="7">
        <v>43599</v>
      </c>
      <c r="L30" s="8" t="str">
        <f>"000015"</f>
        <v>000015</v>
      </c>
      <c r="M30" s="7">
        <v>43600</v>
      </c>
      <c r="N30" s="8">
        <v>18</v>
      </c>
      <c r="O30" s="8" t="str">
        <f>"002037"</f>
        <v>002037</v>
      </c>
      <c r="P30" s="7">
        <v>43609</v>
      </c>
      <c r="Q30" s="10">
        <v>40.638750000000002</v>
      </c>
      <c r="R30" s="10">
        <v>4.0970700000000004</v>
      </c>
      <c r="S30" s="10">
        <v>36.541679999999999</v>
      </c>
      <c r="T30" s="8">
        <v>68</v>
      </c>
      <c r="U30" s="7">
        <v>43617</v>
      </c>
      <c r="V30" s="8">
        <v>7019753347</v>
      </c>
      <c r="W30" s="9" t="s">
        <v>43</v>
      </c>
      <c r="X30" s="8" t="s">
        <v>41</v>
      </c>
      <c r="Y30" s="9" t="s">
        <v>42</v>
      </c>
      <c r="Z30" s="8" t="s">
        <v>44</v>
      </c>
      <c r="AA30" s="9" t="s">
        <v>45</v>
      </c>
      <c r="AB30" s="10">
        <v>0.40638750000000001</v>
      </c>
    </row>
    <row r="31" spans="1:28" s="4" customFormat="1" ht="13" x14ac:dyDescent="0.3">
      <c r="A31" s="5">
        <v>2467</v>
      </c>
      <c r="B31" s="6" t="s">
        <v>31</v>
      </c>
      <c r="C31" s="7">
        <v>43623</v>
      </c>
      <c r="D31" s="8">
        <v>70</v>
      </c>
      <c r="E31" s="9" t="s">
        <v>53</v>
      </c>
      <c r="F31" s="8" t="s">
        <v>57</v>
      </c>
      <c r="G31" s="9" t="s">
        <v>58</v>
      </c>
      <c r="H31" s="8" t="str">
        <f>"00008A"</f>
        <v>00008A</v>
      </c>
      <c r="I31" s="7">
        <v>42697</v>
      </c>
      <c r="J31" s="8" t="str">
        <f>"000009"</f>
        <v>000009</v>
      </c>
      <c r="K31" s="7">
        <v>43088</v>
      </c>
      <c r="L31" s="8" t="str">
        <f>"000008"</f>
        <v>000008</v>
      </c>
      <c r="M31" s="7">
        <v>43088</v>
      </c>
      <c r="N31" s="8">
        <v>16</v>
      </c>
      <c r="O31" s="8" t="str">
        <f>"003739"</f>
        <v>003739</v>
      </c>
      <c r="P31" s="7">
        <v>43294</v>
      </c>
      <c r="Q31" s="10">
        <v>3.50915</v>
      </c>
      <c r="R31" s="10">
        <v>0.46815000000000001</v>
      </c>
      <c r="S31" s="10">
        <v>3.0409999999999999</v>
      </c>
      <c r="T31" s="8">
        <v>73</v>
      </c>
      <c r="U31" s="7">
        <v>43623</v>
      </c>
      <c r="V31" s="8">
        <v>9845937419</v>
      </c>
      <c r="W31" s="9" t="s">
        <v>59</v>
      </c>
      <c r="X31" s="8" t="s">
        <v>29</v>
      </c>
      <c r="Y31" s="9" t="s">
        <v>30</v>
      </c>
      <c r="Z31" s="8" t="s">
        <v>37</v>
      </c>
      <c r="AA31" s="9" t="s">
        <v>38</v>
      </c>
      <c r="AB31" s="10">
        <v>3.5091499999999998E-2</v>
      </c>
    </row>
    <row r="32" spans="1:28" s="4" customFormat="1" ht="13" x14ac:dyDescent="0.3">
      <c r="A32" s="5">
        <v>2468</v>
      </c>
      <c r="B32" s="6" t="s">
        <v>117</v>
      </c>
      <c r="C32" s="7">
        <v>43668</v>
      </c>
      <c r="D32" s="8">
        <v>70</v>
      </c>
      <c r="E32" s="9" t="s">
        <v>53</v>
      </c>
      <c r="F32" s="8" t="s">
        <v>118</v>
      </c>
      <c r="G32" s="11" t="s">
        <v>119</v>
      </c>
      <c r="H32" s="8" t="str">
        <f>"000046"</f>
        <v>000046</v>
      </c>
      <c r="I32" s="7">
        <v>43421</v>
      </c>
      <c r="J32" s="8" t="str">
        <f>"000013"</f>
        <v>000013</v>
      </c>
      <c r="K32" s="7">
        <v>43617</v>
      </c>
      <c r="L32" s="8" t="str">
        <f>"000060"</f>
        <v>000060</v>
      </c>
      <c r="M32" s="7">
        <v>43620</v>
      </c>
      <c r="N32" s="8">
        <v>18</v>
      </c>
      <c r="O32" s="8" t="str">
        <f>"003758"</f>
        <v>003758</v>
      </c>
      <c r="P32" s="7">
        <v>43664</v>
      </c>
      <c r="Q32" s="12">
        <v>9.9912399999999995</v>
      </c>
      <c r="R32" s="12">
        <v>1.12459</v>
      </c>
      <c r="S32" s="12">
        <v>8.8666499999999999</v>
      </c>
      <c r="T32" s="8">
        <v>119</v>
      </c>
      <c r="U32" s="7">
        <v>43668</v>
      </c>
      <c r="V32" s="8">
        <v>9901908019</v>
      </c>
      <c r="W32" s="11" t="s">
        <v>120</v>
      </c>
      <c r="X32" s="8" t="s">
        <v>121</v>
      </c>
      <c r="Y32" s="11" t="s">
        <v>122</v>
      </c>
      <c r="Z32" s="8" t="s">
        <v>71</v>
      </c>
      <c r="AA32" s="11" t="s">
        <v>72</v>
      </c>
      <c r="AB32" s="12">
        <f t="shared" ref="AB32:AB57" si="1">Q32/100</f>
        <v>9.9912399999999998E-2</v>
      </c>
    </row>
    <row r="33" spans="1:28" s="4" customFormat="1" ht="13" x14ac:dyDescent="0.3">
      <c r="A33" s="5">
        <v>2469</v>
      </c>
      <c r="B33" s="6" t="s">
        <v>117</v>
      </c>
      <c r="C33" s="7">
        <v>43668</v>
      </c>
      <c r="D33" s="8">
        <v>70</v>
      </c>
      <c r="E33" s="9" t="s">
        <v>53</v>
      </c>
      <c r="F33" s="8" t="s">
        <v>123</v>
      </c>
      <c r="G33" s="11" t="s">
        <v>124</v>
      </c>
      <c r="H33" s="8" t="str">
        <f>"000043"</f>
        <v>000043</v>
      </c>
      <c r="I33" s="7">
        <v>43421</v>
      </c>
      <c r="J33" s="8" t="str">
        <f>"000012"</f>
        <v>000012</v>
      </c>
      <c r="K33" s="7">
        <v>43617</v>
      </c>
      <c r="L33" s="8" t="str">
        <f>"000059"</f>
        <v>000059</v>
      </c>
      <c r="M33" s="7">
        <v>43620</v>
      </c>
      <c r="N33" s="8">
        <v>18</v>
      </c>
      <c r="O33" s="8" t="str">
        <f>"003759"</f>
        <v>003759</v>
      </c>
      <c r="P33" s="7">
        <v>43664</v>
      </c>
      <c r="Q33" s="12">
        <v>14.98221</v>
      </c>
      <c r="R33" s="12">
        <v>1.6247</v>
      </c>
      <c r="S33" s="12">
        <v>13.35751</v>
      </c>
      <c r="T33" s="8">
        <v>119</v>
      </c>
      <c r="U33" s="7">
        <v>43668</v>
      </c>
      <c r="V33" s="8">
        <v>9901908019</v>
      </c>
      <c r="W33" s="11" t="s">
        <v>120</v>
      </c>
      <c r="X33" s="8" t="s">
        <v>125</v>
      </c>
      <c r="Y33" s="11" t="s">
        <v>126</v>
      </c>
      <c r="Z33" s="8" t="s">
        <v>71</v>
      </c>
      <c r="AA33" s="11" t="s">
        <v>72</v>
      </c>
      <c r="AB33" s="12">
        <f t="shared" si="1"/>
        <v>0.14982210000000001</v>
      </c>
    </row>
    <row r="34" spans="1:28" s="4" customFormat="1" ht="13" x14ac:dyDescent="0.3">
      <c r="A34" s="5">
        <v>2470</v>
      </c>
      <c r="B34" s="6" t="s">
        <v>117</v>
      </c>
      <c r="C34" s="7">
        <v>43668</v>
      </c>
      <c r="D34" s="8">
        <v>70</v>
      </c>
      <c r="E34" s="9" t="s">
        <v>53</v>
      </c>
      <c r="F34" s="8" t="s">
        <v>127</v>
      </c>
      <c r="G34" s="11" t="s">
        <v>128</v>
      </c>
      <c r="H34" s="8" t="str">
        <f>"000044"</f>
        <v>000044</v>
      </c>
      <c r="I34" s="7">
        <v>43421</v>
      </c>
      <c r="J34" s="8" t="str">
        <f>"000014"</f>
        <v>000014</v>
      </c>
      <c r="K34" s="7">
        <v>43617</v>
      </c>
      <c r="L34" s="8" t="str">
        <f>"000058"</f>
        <v>000058</v>
      </c>
      <c r="M34" s="7">
        <v>43620</v>
      </c>
      <c r="N34" s="8">
        <v>18</v>
      </c>
      <c r="O34" s="8" t="str">
        <f>"003760"</f>
        <v>003760</v>
      </c>
      <c r="P34" s="7">
        <v>43664</v>
      </c>
      <c r="Q34" s="12">
        <v>14.985329999999999</v>
      </c>
      <c r="R34" s="12">
        <v>1.5295799999999999</v>
      </c>
      <c r="S34" s="12">
        <v>13.45575</v>
      </c>
      <c r="T34" s="8">
        <v>119</v>
      </c>
      <c r="U34" s="7">
        <v>43668</v>
      </c>
      <c r="V34" s="8">
        <v>9901908019</v>
      </c>
      <c r="W34" s="11" t="s">
        <v>120</v>
      </c>
      <c r="X34" s="8" t="s">
        <v>129</v>
      </c>
      <c r="Y34" s="11" t="s">
        <v>130</v>
      </c>
      <c r="Z34" s="8" t="s">
        <v>71</v>
      </c>
      <c r="AA34" s="11" t="s">
        <v>72</v>
      </c>
      <c r="AB34" s="12">
        <f t="shared" si="1"/>
        <v>0.14985329999999999</v>
      </c>
    </row>
    <row r="35" spans="1:28" s="4" customFormat="1" ht="13" x14ac:dyDescent="0.3">
      <c r="A35" s="5">
        <v>2471</v>
      </c>
      <c r="B35" s="6" t="s">
        <v>117</v>
      </c>
      <c r="C35" s="7">
        <v>43668</v>
      </c>
      <c r="D35" s="8">
        <v>70</v>
      </c>
      <c r="E35" s="9" t="s">
        <v>53</v>
      </c>
      <c r="F35" s="8" t="s">
        <v>131</v>
      </c>
      <c r="G35" s="11" t="s">
        <v>132</v>
      </c>
      <c r="H35" s="8" t="str">
        <f>"000045"</f>
        <v>000045</v>
      </c>
      <c r="I35" s="7">
        <v>43421</v>
      </c>
      <c r="J35" s="8" t="str">
        <f>"000011"</f>
        <v>000011</v>
      </c>
      <c r="K35" s="7">
        <v>43617</v>
      </c>
      <c r="L35" s="8" t="str">
        <f>"000057"</f>
        <v>000057</v>
      </c>
      <c r="M35" s="7">
        <v>43620</v>
      </c>
      <c r="N35" s="8">
        <v>18</v>
      </c>
      <c r="O35" s="8" t="str">
        <f>"003761"</f>
        <v>003761</v>
      </c>
      <c r="P35" s="7">
        <v>43664</v>
      </c>
      <c r="Q35" s="12">
        <v>19.999099999999999</v>
      </c>
      <c r="R35" s="12">
        <v>2.20695</v>
      </c>
      <c r="S35" s="12">
        <v>17.792149999999999</v>
      </c>
      <c r="T35" s="8">
        <v>119</v>
      </c>
      <c r="U35" s="7">
        <v>43668</v>
      </c>
      <c r="V35" s="8">
        <v>9901908019</v>
      </c>
      <c r="W35" s="11" t="s">
        <v>120</v>
      </c>
      <c r="X35" s="8" t="s">
        <v>133</v>
      </c>
      <c r="Y35" s="11" t="s">
        <v>134</v>
      </c>
      <c r="Z35" s="8" t="s">
        <v>71</v>
      </c>
      <c r="AA35" s="11" t="s">
        <v>72</v>
      </c>
      <c r="AB35" s="12">
        <f t="shared" si="1"/>
        <v>0.19999099999999997</v>
      </c>
    </row>
    <row r="36" spans="1:28" s="4" customFormat="1" ht="13" x14ac:dyDescent="0.3">
      <c r="A36" s="5">
        <v>2472</v>
      </c>
      <c r="B36" s="6" t="s">
        <v>117</v>
      </c>
      <c r="C36" s="7">
        <v>43668</v>
      </c>
      <c r="D36" s="8">
        <v>70</v>
      </c>
      <c r="E36" s="9" t="s">
        <v>53</v>
      </c>
      <c r="F36" s="8" t="s">
        <v>135</v>
      </c>
      <c r="G36" s="11" t="s">
        <v>136</v>
      </c>
      <c r="H36" s="8" t="str">
        <f>"000042"</f>
        <v>000042</v>
      </c>
      <c r="I36" s="7">
        <v>43421</v>
      </c>
      <c r="J36" s="8" t="str">
        <f>"000015"</f>
        <v>000015</v>
      </c>
      <c r="K36" s="7">
        <v>43617</v>
      </c>
      <c r="L36" s="8" t="str">
        <f>"000061"</f>
        <v>000061</v>
      </c>
      <c r="M36" s="7">
        <v>43620</v>
      </c>
      <c r="N36" s="8">
        <v>18</v>
      </c>
      <c r="O36" s="8" t="str">
        <f>"003762"</f>
        <v>003762</v>
      </c>
      <c r="P36" s="7">
        <v>43664</v>
      </c>
      <c r="Q36" s="12">
        <v>49.912909999999997</v>
      </c>
      <c r="R36" s="12">
        <v>5.3875900000000003</v>
      </c>
      <c r="S36" s="12">
        <v>44.525320000000001</v>
      </c>
      <c r="T36" s="8">
        <v>119</v>
      </c>
      <c r="U36" s="7">
        <v>43668</v>
      </c>
      <c r="V36" s="8">
        <v>9901908019</v>
      </c>
      <c r="W36" s="11" t="s">
        <v>120</v>
      </c>
      <c r="X36" s="8" t="s">
        <v>121</v>
      </c>
      <c r="Y36" s="11" t="s">
        <v>122</v>
      </c>
      <c r="Z36" s="8" t="s">
        <v>71</v>
      </c>
      <c r="AA36" s="11" t="s">
        <v>72</v>
      </c>
      <c r="AB36" s="12">
        <f t="shared" si="1"/>
        <v>0.49912909999999999</v>
      </c>
    </row>
    <row r="37" spans="1:28" s="4" customFormat="1" ht="13" x14ac:dyDescent="0.3">
      <c r="A37" s="5">
        <v>2473</v>
      </c>
      <c r="B37" s="6" t="s">
        <v>117</v>
      </c>
      <c r="C37" s="7">
        <v>43669</v>
      </c>
      <c r="D37" s="8">
        <v>70</v>
      </c>
      <c r="E37" s="9" t="s">
        <v>53</v>
      </c>
      <c r="F37" s="8" t="s">
        <v>137</v>
      </c>
      <c r="G37" s="11" t="s">
        <v>138</v>
      </c>
      <c r="H37" s="8" t="str">
        <f>"000107"</f>
        <v>000107</v>
      </c>
      <c r="I37" s="7">
        <v>43075</v>
      </c>
      <c r="J37" s="8" t="str">
        <f>"000014"</f>
        <v>000014</v>
      </c>
      <c r="K37" s="7">
        <v>43130</v>
      </c>
      <c r="L37" s="8" t="str">
        <f>"000097"</f>
        <v>000097</v>
      </c>
      <c r="M37" s="7">
        <v>43140</v>
      </c>
      <c r="N37" s="8">
        <v>17</v>
      </c>
      <c r="O37" s="8" t="str">
        <f>"003515"</f>
        <v>003515</v>
      </c>
      <c r="P37" s="7">
        <v>43663</v>
      </c>
      <c r="Q37" s="12">
        <v>13.500360000000001</v>
      </c>
      <c r="R37" s="12">
        <v>0.44224999999999998</v>
      </c>
      <c r="S37" s="12">
        <v>13.058109999999999</v>
      </c>
      <c r="T37" s="8">
        <v>122</v>
      </c>
      <c r="U37" s="7">
        <v>43669</v>
      </c>
      <c r="V37" s="8">
        <v>9148662328</v>
      </c>
      <c r="W37" s="11" t="s">
        <v>139</v>
      </c>
      <c r="X37" s="8" t="s">
        <v>32</v>
      </c>
      <c r="Y37" s="11" t="s">
        <v>33</v>
      </c>
      <c r="Z37" s="8" t="s">
        <v>71</v>
      </c>
      <c r="AA37" s="11" t="s">
        <v>72</v>
      </c>
      <c r="AB37" s="12">
        <f t="shared" si="1"/>
        <v>0.1350036</v>
      </c>
    </row>
    <row r="38" spans="1:28" s="4" customFormat="1" ht="13" x14ac:dyDescent="0.3">
      <c r="A38" s="5">
        <v>2474</v>
      </c>
      <c r="B38" s="6" t="s">
        <v>117</v>
      </c>
      <c r="C38" s="7">
        <v>43677</v>
      </c>
      <c r="D38" s="8">
        <v>70</v>
      </c>
      <c r="E38" s="9" t="s">
        <v>53</v>
      </c>
      <c r="F38" s="8" t="s">
        <v>140</v>
      </c>
      <c r="G38" s="11" t="s">
        <v>141</v>
      </c>
      <c r="H38" s="8" t="str">
        <f>"000016"</f>
        <v>000016</v>
      </c>
      <c r="I38" s="7">
        <v>42957</v>
      </c>
      <c r="J38" s="8" t="str">
        <f>"000007"</f>
        <v>000007</v>
      </c>
      <c r="K38" s="7">
        <v>43061</v>
      </c>
      <c r="L38" s="8" t="str">
        <f>"000103"</f>
        <v>000103</v>
      </c>
      <c r="M38" s="7">
        <v>43153</v>
      </c>
      <c r="N38" s="8">
        <v>17</v>
      </c>
      <c r="O38" s="8" t="str">
        <f>"004041"</f>
        <v>004041</v>
      </c>
      <c r="P38" s="7">
        <v>43672</v>
      </c>
      <c r="Q38" s="12">
        <v>14.9932</v>
      </c>
      <c r="R38" s="12">
        <v>1.4018600000000001</v>
      </c>
      <c r="S38" s="12">
        <v>13.591340000000001</v>
      </c>
      <c r="T38" s="8">
        <v>135</v>
      </c>
      <c r="U38" s="7">
        <v>43677</v>
      </c>
      <c r="V38" s="8">
        <v>944821012</v>
      </c>
      <c r="W38" s="11" t="s">
        <v>120</v>
      </c>
      <c r="X38" s="8" t="s">
        <v>142</v>
      </c>
      <c r="Y38" s="11" t="s">
        <v>143</v>
      </c>
      <c r="Z38" s="8" t="s">
        <v>71</v>
      </c>
      <c r="AA38" s="11" t="s">
        <v>72</v>
      </c>
      <c r="AB38" s="12">
        <f t="shared" si="1"/>
        <v>0.14993200000000001</v>
      </c>
    </row>
    <row r="39" spans="1:28" s="4" customFormat="1" ht="13" x14ac:dyDescent="0.3">
      <c r="A39" s="5">
        <v>2475</v>
      </c>
      <c r="B39" s="6" t="s">
        <v>144</v>
      </c>
      <c r="C39" s="7">
        <v>43680</v>
      </c>
      <c r="D39" s="8">
        <v>70</v>
      </c>
      <c r="E39" s="9" t="s">
        <v>53</v>
      </c>
      <c r="F39" s="8" t="s">
        <v>145</v>
      </c>
      <c r="G39" s="11" t="s">
        <v>146</v>
      </c>
      <c r="H39" s="8" t="str">
        <f>"000297"</f>
        <v>000297</v>
      </c>
      <c r="I39" s="7">
        <v>43493</v>
      </c>
      <c r="J39" s="8" t="str">
        <f>"000004"</f>
        <v>000004</v>
      </c>
      <c r="K39" s="7">
        <v>43582</v>
      </c>
      <c r="L39" s="8" t="str">
        <f>"000024"</f>
        <v>000024</v>
      </c>
      <c r="M39" s="7">
        <v>43585</v>
      </c>
      <c r="N39" s="8">
        <v>18</v>
      </c>
      <c r="O39" s="8" t="str">
        <f>"004195"</f>
        <v>004195</v>
      </c>
      <c r="P39" s="7">
        <v>43679</v>
      </c>
      <c r="Q39" s="12">
        <v>4.9197899999999999</v>
      </c>
      <c r="R39" s="12">
        <v>0.24037</v>
      </c>
      <c r="S39" s="12">
        <v>4.6794200000000004</v>
      </c>
      <c r="T39" s="8">
        <v>141</v>
      </c>
      <c r="U39" s="7">
        <v>43680</v>
      </c>
      <c r="V39" s="8">
        <v>9880466655</v>
      </c>
      <c r="W39" s="11" t="s">
        <v>147</v>
      </c>
      <c r="X39" s="8" t="s">
        <v>35</v>
      </c>
      <c r="Y39" s="11" t="s">
        <v>36</v>
      </c>
      <c r="Z39" s="8" t="s">
        <v>71</v>
      </c>
      <c r="AA39" s="11" t="s">
        <v>72</v>
      </c>
      <c r="AB39" s="12">
        <f t="shared" si="1"/>
        <v>4.9197899999999996E-2</v>
      </c>
    </row>
    <row r="40" spans="1:28" s="4" customFormat="1" ht="13" x14ac:dyDescent="0.3">
      <c r="A40" s="5">
        <v>2476</v>
      </c>
      <c r="B40" s="6" t="s">
        <v>144</v>
      </c>
      <c r="C40" s="7">
        <v>43680</v>
      </c>
      <c r="D40" s="8">
        <v>70</v>
      </c>
      <c r="E40" s="9" t="s">
        <v>53</v>
      </c>
      <c r="F40" s="8" t="s">
        <v>148</v>
      </c>
      <c r="G40" s="11" t="s">
        <v>149</v>
      </c>
      <c r="H40" s="8" t="str">
        <f>"000298"</f>
        <v>000298</v>
      </c>
      <c r="I40" s="7">
        <v>43493</v>
      </c>
      <c r="J40" s="8" t="str">
        <f>"000005"</f>
        <v>000005</v>
      </c>
      <c r="K40" s="7">
        <v>43582</v>
      </c>
      <c r="L40" s="8" t="str">
        <f>"000023"</f>
        <v>000023</v>
      </c>
      <c r="M40" s="7">
        <v>43585</v>
      </c>
      <c r="N40" s="8">
        <v>18</v>
      </c>
      <c r="O40" s="8" t="str">
        <f>"004196"</f>
        <v>004196</v>
      </c>
      <c r="P40" s="7">
        <v>43679</v>
      </c>
      <c r="Q40" s="12">
        <v>4.1409599999999998</v>
      </c>
      <c r="R40" s="12">
        <v>0.20230000000000001</v>
      </c>
      <c r="S40" s="12">
        <v>3.93866</v>
      </c>
      <c r="T40" s="8">
        <v>141</v>
      </c>
      <c r="U40" s="7">
        <v>43680</v>
      </c>
      <c r="V40" s="8">
        <v>9880466655</v>
      </c>
      <c r="W40" s="11" t="s">
        <v>150</v>
      </c>
      <c r="X40" s="8" t="s">
        <v>35</v>
      </c>
      <c r="Y40" s="11" t="s">
        <v>36</v>
      </c>
      <c r="Z40" s="8" t="s">
        <v>71</v>
      </c>
      <c r="AA40" s="11" t="s">
        <v>72</v>
      </c>
      <c r="AB40" s="12">
        <f t="shared" si="1"/>
        <v>4.1409599999999998E-2</v>
      </c>
    </row>
    <row r="41" spans="1:28" s="4" customFormat="1" ht="13" x14ac:dyDescent="0.3">
      <c r="A41" s="5">
        <v>2477</v>
      </c>
      <c r="B41" s="6" t="s">
        <v>144</v>
      </c>
      <c r="C41" s="7">
        <v>43680</v>
      </c>
      <c r="D41" s="8">
        <v>70</v>
      </c>
      <c r="E41" s="9" t="s">
        <v>53</v>
      </c>
      <c r="F41" s="8" t="s">
        <v>151</v>
      </c>
      <c r="G41" s="11" t="s">
        <v>152</v>
      </c>
      <c r="H41" s="8" t="str">
        <f>"000299"</f>
        <v>000299</v>
      </c>
      <c r="I41" s="7">
        <v>43493</v>
      </c>
      <c r="J41" s="8" t="str">
        <f>"000006"</f>
        <v>000006</v>
      </c>
      <c r="K41" s="7">
        <v>43582</v>
      </c>
      <c r="L41" s="8" t="str">
        <f>"000025"</f>
        <v>000025</v>
      </c>
      <c r="M41" s="7">
        <v>43585</v>
      </c>
      <c r="N41" s="8">
        <v>18</v>
      </c>
      <c r="O41" s="8" t="str">
        <f>"004197"</f>
        <v>004197</v>
      </c>
      <c r="P41" s="7">
        <v>43679</v>
      </c>
      <c r="Q41" s="12">
        <v>2.9446699999999999</v>
      </c>
      <c r="R41" s="12">
        <v>0.13342999999999999</v>
      </c>
      <c r="S41" s="12">
        <v>2.8112400000000002</v>
      </c>
      <c r="T41" s="8">
        <v>141</v>
      </c>
      <c r="U41" s="7">
        <v>43680</v>
      </c>
      <c r="V41" s="8">
        <v>9880466655</v>
      </c>
      <c r="W41" s="11" t="s">
        <v>150</v>
      </c>
      <c r="X41" s="8" t="s">
        <v>35</v>
      </c>
      <c r="Y41" s="11" t="s">
        <v>36</v>
      </c>
      <c r="Z41" s="8" t="s">
        <v>71</v>
      </c>
      <c r="AA41" s="11" t="s">
        <v>72</v>
      </c>
      <c r="AB41" s="12">
        <f t="shared" si="1"/>
        <v>2.9446699999999999E-2</v>
      </c>
    </row>
    <row r="42" spans="1:28" s="4" customFormat="1" ht="13" x14ac:dyDescent="0.3">
      <c r="A42" s="5">
        <v>2478</v>
      </c>
      <c r="B42" s="6" t="s">
        <v>144</v>
      </c>
      <c r="C42" s="7">
        <v>43680</v>
      </c>
      <c r="D42" s="8">
        <v>70</v>
      </c>
      <c r="E42" s="9" t="s">
        <v>53</v>
      </c>
      <c r="F42" s="8" t="s">
        <v>153</v>
      </c>
      <c r="G42" s="11" t="s">
        <v>154</v>
      </c>
      <c r="H42" s="8" t="str">
        <f>"000300"</f>
        <v>000300</v>
      </c>
      <c r="I42" s="7">
        <v>43493</v>
      </c>
      <c r="J42" s="8" t="str">
        <f>"000007"</f>
        <v>000007</v>
      </c>
      <c r="K42" s="7">
        <v>43582</v>
      </c>
      <c r="L42" s="8" t="str">
        <f>"000026"</f>
        <v>000026</v>
      </c>
      <c r="M42" s="7">
        <v>43585</v>
      </c>
      <c r="N42" s="8">
        <v>18</v>
      </c>
      <c r="O42" s="8" t="str">
        <f>"004198"</f>
        <v>004198</v>
      </c>
      <c r="P42" s="7">
        <v>43679</v>
      </c>
      <c r="Q42" s="12">
        <v>4.6694800000000001</v>
      </c>
      <c r="R42" s="12">
        <v>0.18145</v>
      </c>
      <c r="S42" s="12">
        <v>4.4880300000000002</v>
      </c>
      <c r="T42" s="8">
        <v>141</v>
      </c>
      <c r="U42" s="7">
        <v>43680</v>
      </c>
      <c r="V42" s="8">
        <v>9008046655</v>
      </c>
      <c r="W42" s="11" t="s">
        <v>155</v>
      </c>
      <c r="X42" s="8" t="s">
        <v>35</v>
      </c>
      <c r="Y42" s="11" t="s">
        <v>36</v>
      </c>
      <c r="Z42" s="8" t="s">
        <v>71</v>
      </c>
      <c r="AA42" s="11" t="s">
        <v>72</v>
      </c>
      <c r="AB42" s="12">
        <f t="shared" si="1"/>
        <v>4.6694800000000002E-2</v>
      </c>
    </row>
    <row r="43" spans="1:28" s="4" customFormat="1" ht="13" x14ac:dyDescent="0.3">
      <c r="A43" s="5">
        <v>2479</v>
      </c>
      <c r="B43" s="6" t="s">
        <v>144</v>
      </c>
      <c r="C43" s="7">
        <v>43680</v>
      </c>
      <c r="D43" s="8">
        <v>70</v>
      </c>
      <c r="E43" s="9" t="s">
        <v>53</v>
      </c>
      <c r="F43" s="8" t="s">
        <v>156</v>
      </c>
      <c r="G43" s="11" t="s">
        <v>157</v>
      </c>
      <c r="H43" s="8" t="str">
        <f>"000224"</f>
        <v>000224</v>
      </c>
      <c r="I43" s="7">
        <v>43139</v>
      </c>
      <c r="J43" s="8" t="str">
        <f>"000044"</f>
        <v>000044</v>
      </c>
      <c r="K43" s="7">
        <v>43291</v>
      </c>
      <c r="L43" s="8" t="str">
        <f>"000117"</f>
        <v>000117</v>
      </c>
      <c r="M43" s="7">
        <v>43297</v>
      </c>
      <c r="N43" s="8">
        <v>18</v>
      </c>
      <c r="O43" s="8" t="str">
        <f>"004201"</f>
        <v>004201</v>
      </c>
      <c r="P43" s="7">
        <v>43679</v>
      </c>
      <c r="Q43" s="12">
        <v>47.925899999999999</v>
      </c>
      <c r="R43" s="12">
        <v>4.0905500000000004</v>
      </c>
      <c r="S43" s="12">
        <v>43.835349999999998</v>
      </c>
      <c r="T43" s="8">
        <v>141</v>
      </c>
      <c r="U43" s="7">
        <v>43680</v>
      </c>
      <c r="V43" s="8">
        <v>9916220781</v>
      </c>
      <c r="W43" s="11" t="s">
        <v>158</v>
      </c>
      <c r="X43" s="8" t="s">
        <v>159</v>
      </c>
      <c r="Y43" s="11" t="s">
        <v>160</v>
      </c>
      <c r="Z43" s="8" t="s">
        <v>71</v>
      </c>
      <c r="AA43" s="11" t="s">
        <v>72</v>
      </c>
      <c r="AB43" s="12">
        <f t="shared" si="1"/>
        <v>0.47925899999999999</v>
      </c>
    </row>
    <row r="44" spans="1:28" s="4" customFormat="1" ht="13" x14ac:dyDescent="0.3">
      <c r="A44" s="5">
        <v>2480</v>
      </c>
      <c r="B44" s="6" t="s">
        <v>144</v>
      </c>
      <c r="C44" s="7">
        <v>43680</v>
      </c>
      <c r="D44" s="8">
        <v>70</v>
      </c>
      <c r="E44" s="9" t="s">
        <v>53</v>
      </c>
      <c r="F44" s="8" t="s">
        <v>161</v>
      </c>
      <c r="G44" s="11" t="s">
        <v>162</v>
      </c>
      <c r="H44" s="8" t="str">
        <f>"000223"</f>
        <v>000223</v>
      </c>
      <c r="I44" s="7">
        <v>43139</v>
      </c>
      <c r="J44" s="8" t="str">
        <f>"000045"</f>
        <v>000045</v>
      </c>
      <c r="K44" s="7">
        <v>43291</v>
      </c>
      <c r="L44" s="8" t="str">
        <f>"000116"</f>
        <v>000116</v>
      </c>
      <c r="M44" s="7">
        <v>43297</v>
      </c>
      <c r="N44" s="8">
        <v>18</v>
      </c>
      <c r="O44" s="8" t="str">
        <f>"004202"</f>
        <v>004202</v>
      </c>
      <c r="P44" s="7">
        <v>43679</v>
      </c>
      <c r="Q44" s="12">
        <v>47.919260000000001</v>
      </c>
      <c r="R44" s="12">
        <v>1.72509</v>
      </c>
      <c r="S44" s="12">
        <v>46.19417</v>
      </c>
      <c r="T44" s="8">
        <v>141</v>
      </c>
      <c r="U44" s="7">
        <v>43680</v>
      </c>
      <c r="V44" s="8">
        <v>9916220781</v>
      </c>
      <c r="W44" s="11" t="s">
        <v>158</v>
      </c>
      <c r="X44" s="8" t="s">
        <v>159</v>
      </c>
      <c r="Y44" s="11" t="s">
        <v>160</v>
      </c>
      <c r="Z44" s="8" t="s">
        <v>71</v>
      </c>
      <c r="AA44" s="11" t="s">
        <v>72</v>
      </c>
      <c r="AB44" s="12">
        <f t="shared" si="1"/>
        <v>0.47919260000000002</v>
      </c>
    </row>
    <row r="45" spans="1:28" s="4" customFormat="1" ht="13" x14ac:dyDescent="0.3">
      <c r="A45" s="5">
        <v>2481</v>
      </c>
      <c r="B45" s="6" t="s">
        <v>144</v>
      </c>
      <c r="C45" s="7">
        <v>43684</v>
      </c>
      <c r="D45" s="8">
        <v>70</v>
      </c>
      <c r="E45" s="9" t="s">
        <v>53</v>
      </c>
      <c r="F45" s="8" t="s">
        <v>163</v>
      </c>
      <c r="G45" s="11" t="s">
        <v>164</v>
      </c>
      <c r="H45" s="8" t="str">
        <f>"000114"</f>
        <v>000114</v>
      </c>
      <c r="I45" s="7">
        <v>43077</v>
      </c>
      <c r="J45" s="8" t="str">
        <f>"000025"</f>
        <v>000025</v>
      </c>
      <c r="K45" s="7">
        <v>43159</v>
      </c>
      <c r="L45" s="8" t="str">
        <f>"000112"</f>
        <v>000112</v>
      </c>
      <c r="M45" s="7">
        <v>43160</v>
      </c>
      <c r="N45" s="8">
        <v>18</v>
      </c>
      <c r="O45" s="8" t="str">
        <f>"004226"</f>
        <v>004226</v>
      </c>
      <c r="P45" s="7">
        <v>43679</v>
      </c>
      <c r="Q45" s="12">
        <v>49.994030000000002</v>
      </c>
      <c r="R45" s="12">
        <v>4.7183700000000002</v>
      </c>
      <c r="S45" s="12">
        <v>45.275660000000002</v>
      </c>
      <c r="T45" s="8">
        <v>144</v>
      </c>
      <c r="U45" s="7">
        <v>43684</v>
      </c>
      <c r="V45" s="8">
        <v>9845736688</v>
      </c>
      <c r="W45" s="11" t="s">
        <v>120</v>
      </c>
      <c r="X45" s="8" t="s">
        <v>165</v>
      </c>
      <c r="Y45" s="11" t="s">
        <v>166</v>
      </c>
      <c r="Z45" s="8" t="s">
        <v>71</v>
      </c>
      <c r="AA45" s="11" t="s">
        <v>72</v>
      </c>
      <c r="AB45" s="12">
        <f t="shared" si="1"/>
        <v>0.4999403</v>
      </c>
    </row>
    <row r="46" spans="1:28" s="4" customFormat="1" ht="13" x14ac:dyDescent="0.3">
      <c r="A46" s="5">
        <v>2482</v>
      </c>
      <c r="B46" s="6" t="s">
        <v>144</v>
      </c>
      <c r="C46" s="7">
        <v>43684</v>
      </c>
      <c r="D46" s="8">
        <v>70</v>
      </c>
      <c r="E46" s="9" t="s">
        <v>53</v>
      </c>
      <c r="F46" s="8" t="s">
        <v>167</v>
      </c>
      <c r="G46" s="11" t="s">
        <v>168</v>
      </c>
      <c r="H46" s="8" t="str">
        <f>"000112"</f>
        <v>000112</v>
      </c>
      <c r="I46" s="7">
        <v>43077</v>
      </c>
      <c r="J46" s="8" t="str">
        <f>"000027"</f>
        <v>000027</v>
      </c>
      <c r="K46" s="7">
        <v>43159</v>
      </c>
      <c r="L46" s="8" t="str">
        <f>"000114"</f>
        <v>000114</v>
      </c>
      <c r="M46" s="7">
        <v>43160</v>
      </c>
      <c r="N46" s="8">
        <v>18</v>
      </c>
      <c r="O46" s="8" t="str">
        <f>"004227"</f>
        <v>004227</v>
      </c>
      <c r="P46" s="7">
        <v>43679</v>
      </c>
      <c r="Q46" s="12">
        <v>49.938490000000002</v>
      </c>
      <c r="R46" s="12">
        <v>4.6664899999999996</v>
      </c>
      <c r="S46" s="12">
        <v>45.271999999999998</v>
      </c>
      <c r="T46" s="8">
        <v>144</v>
      </c>
      <c r="U46" s="7">
        <v>43684</v>
      </c>
      <c r="V46" s="8">
        <v>9845736688</v>
      </c>
      <c r="W46" s="11" t="s">
        <v>120</v>
      </c>
      <c r="X46" s="8" t="s">
        <v>165</v>
      </c>
      <c r="Y46" s="11" t="s">
        <v>166</v>
      </c>
      <c r="Z46" s="8" t="s">
        <v>71</v>
      </c>
      <c r="AA46" s="11" t="s">
        <v>72</v>
      </c>
      <c r="AB46" s="12">
        <f t="shared" si="1"/>
        <v>0.49938490000000002</v>
      </c>
    </row>
    <row r="47" spans="1:28" s="4" customFormat="1" ht="13" x14ac:dyDescent="0.3">
      <c r="A47" s="5">
        <v>2483</v>
      </c>
      <c r="B47" s="6" t="s">
        <v>144</v>
      </c>
      <c r="C47" s="7">
        <v>43684</v>
      </c>
      <c r="D47" s="8">
        <v>70</v>
      </c>
      <c r="E47" s="9" t="s">
        <v>53</v>
      </c>
      <c r="F47" s="8" t="s">
        <v>169</v>
      </c>
      <c r="G47" s="11" t="s">
        <v>170</v>
      </c>
      <c r="H47" s="8" t="str">
        <f>"000111"</f>
        <v>000111</v>
      </c>
      <c r="I47" s="7">
        <v>43077</v>
      </c>
      <c r="J47" s="8" t="str">
        <f>"000028"</f>
        <v>000028</v>
      </c>
      <c r="K47" s="7">
        <v>43159</v>
      </c>
      <c r="L47" s="8" t="str">
        <f>"000115"</f>
        <v>000115</v>
      </c>
      <c r="M47" s="7">
        <v>43160</v>
      </c>
      <c r="N47" s="8">
        <v>18</v>
      </c>
      <c r="O47" s="8" t="str">
        <f>"004228"</f>
        <v>004228</v>
      </c>
      <c r="P47" s="7">
        <v>43679</v>
      </c>
      <c r="Q47" s="12">
        <v>49.941740000000003</v>
      </c>
      <c r="R47" s="12">
        <v>4.6744000000000003</v>
      </c>
      <c r="S47" s="12">
        <v>45.267339999999997</v>
      </c>
      <c r="T47" s="8">
        <v>144</v>
      </c>
      <c r="U47" s="7">
        <v>43684</v>
      </c>
      <c r="V47" s="8">
        <v>9845736688</v>
      </c>
      <c r="W47" s="11" t="s">
        <v>120</v>
      </c>
      <c r="X47" s="8" t="s">
        <v>165</v>
      </c>
      <c r="Y47" s="11" t="s">
        <v>166</v>
      </c>
      <c r="Z47" s="8" t="s">
        <v>71</v>
      </c>
      <c r="AA47" s="11" t="s">
        <v>72</v>
      </c>
      <c r="AB47" s="12">
        <f t="shared" si="1"/>
        <v>0.49941740000000001</v>
      </c>
    </row>
    <row r="48" spans="1:28" s="4" customFormat="1" ht="13" x14ac:dyDescent="0.3">
      <c r="A48" s="5">
        <v>2484</v>
      </c>
      <c r="B48" s="6" t="s">
        <v>144</v>
      </c>
      <c r="C48" s="7">
        <v>43686</v>
      </c>
      <c r="D48" s="8">
        <v>70</v>
      </c>
      <c r="E48" s="9" t="s">
        <v>53</v>
      </c>
      <c r="F48" s="8" t="s">
        <v>60</v>
      </c>
      <c r="G48" s="11" t="s">
        <v>61</v>
      </c>
      <c r="H48" s="8" t="str">
        <f>"000040"</f>
        <v>000040</v>
      </c>
      <c r="I48" s="7">
        <v>43500</v>
      </c>
      <c r="J48" s="8" t="str">
        <f>"000032"</f>
        <v>000032</v>
      </c>
      <c r="K48" s="7">
        <v>43676</v>
      </c>
      <c r="L48" s="8" t="str">
        <f>"000029"</f>
        <v>000029</v>
      </c>
      <c r="M48" s="7">
        <v>43677</v>
      </c>
      <c r="N48" s="8">
        <v>18</v>
      </c>
      <c r="O48" s="8" t="str">
        <f>"004353"</f>
        <v>004353</v>
      </c>
      <c r="P48" s="7">
        <v>43684</v>
      </c>
      <c r="Q48" s="12">
        <v>9.0091699999999992</v>
      </c>
      <c r="R48" s="12">
        <v>1.1399600000000001</v>
      </c>
      <c r="S48" s="12">
        <v>7.8692099999999998</v>
      </c>
      <c r="T48" s="8">
        <v>150</v>
      </c>
      <c r="U48" s="7">
        <v>43686</v>
      </c>
      <c r="V48" s="8">
        <v>7019753347</v>
      </c>
      <c r="W48" s="11" t="s">
        <v>46</v>
      </c>
      <c r="X48" s="8" t="s">
        <v>41</v>
      </c>
      <c r="Y48" s="11" t="s">
        <v>42</v>
      </c>
      <c r="Z48" s="8" t="s">
        <v>44</v>
      </c>
      <c r="AA48" s="11" t="s">
        <v>45</v>
      </c>
      <c r="AB48" s="12">
        <f t="shared" si="1"/>
        <v>9.0091699999999997E-2</v>
      </c>
    </row>
    <row r="49" spans="1:28" s="4" customFormat="1" ht="13" x14ac:dyDescent="0.3">
      <c r="A49" s="5">
        <v>2485</v>
      </c>
      <c r="B49" s="6" t="s">
        <v>144</v>
      </c>
      <c r="C49" s="7">
        <v>43686</v>
      </c>
      <c r="D49" s="8">
        <v>70</v>
      </c>
      <c r="E49" s="9" t="s">
        <v>53</v>
      </c>
      <c r="F49" s="8" t="s">
        <v>171</v>
      </c>
      <c r="G49" s="11" t="s">
        <v>172</v>
      </c>
      <c r="H49" s="8" t="str">
        <f>"000012"</f>
        <v>000012</v>
      </c>
      <c r="I49" s="7">
        <v>43522</v>
      </c>
      <c r="J49" s="8" t="str">
        <f>"000001"</f>
        <v>000001</v>
      </c>
      <c r="K49" s="7">
        <v>43682</v>
      </c>
      <c r="L49" s="8" t="str">
        <f>"000068"</f>
        <v>000068</v>
      </c>
      <c r="M49" s="7">
        <v>43682</v>
      </c>
      <c r="N49" s="8">
        <v>18</v>
      </c>
      <c r="O49" s="8" t="str">
        <f>"004381"</f>
        <v>004381</v>
      </c>
      <c r="P49" s="7">
        <v>43684</v>
      </c>
      <c r="Q49" s="12">
        <v>30.79</v>
      </c>
      <c r="R49" s="12">
        <v>1.63584</v>
      </c>
      <c r="S49" s="12">
        <v>29.154160000000001</v>
      </c>
      <c r="T49" s="8">
        <v>150</v>
      </c>
      <c r="U49" s="7">
        <v>43686</v>
      </c>
      <c r="V49" s="8">
        <v>9845632291</v>
      </c>
      <c r="W49" s="11" t="s">
        <v>173</v>
      </c>
      <c r="X49" s="8" t="s">
        <v>35</v>
      </c>
      <c r="Y49" s="11" t="s">
        <v>36</v>
      </c>
      <c r="Z49" s="8" t="s">
        <v>49</v>
      </c>
      <c r="AA49" s="11" t="s">
        <v>50</v>
      </c>
      <c r="AB49" s="12">
        <f t="shared" si="1"/>
        <v>0.30790000000000001</v>
      </c>
    </row>
    <row r="50" spans="1:28" s="4" customFormat="1" ht="13" x14ac:dyDescent="0.3">
      <c r="A50" s="5">
        <v>2486</v>
      </c>
      <c r="B50" s="6" t="s">
        <v>144</v>
      </c>
      <c r="C50" s="7">
        <v>43696</v>
      </c>
      <c r="D50" s="8">
        <v>70</v>
      </c>
      <c r="E50" s="9" t="s">
        <v>53</v>
      </c>
      <c r="F50" s="8" t="s">
        <v>174</v>
      </c>
      <c r="G50" s="11" t="s">
        <v>175</v>
      </c>
      <c r="H50" s="8" t="str">
        <f>"000115"</f>
        <v>000115</v>
      </c>
      <c r="I50" s="7">
        <v>43077</v>
      </c>
      <c r="J50" s="8" t="str">
        <f>"000024"</f>
        <v>000024</v>
      </c>
      <c r="K50" s="7">
        <v>43159</v>
      </c>
      <c r="L50" s="8" t="str">
        <f>"000113"</f>
        <v>000113</v>
      </c>
      <c r="M50" s="7">
        <v>43160</v>
      </c>
      <c r="N50" s="8">
        <v>18</v>
      </c>
      <c r="O50" s="8" t="str">
        <f>"004417"</f>
        <v>004417</v>
      </c>
      <c r="P50" s="7">
        <v>43690</v>
      </c>
      <c r="Q50" s="12">
        <v>49.979599999999998</v>
      </c>
      <c r="R50" s="12">
        <v>4.6814999999999998</v>
      </c>
      <c r="S50" s="12">
        <v>45.298099999999998</v>
      </c>
      <c r="T50" s="8">
        <v>158</v>
      </c>
      <c r="U50" s="7">
        <v>43696</v>
      </c>
      <c r="V50" s="8">
        <v>9845736688</v>
      </c>
      <c r="W50" s="11" t="s">
        <v>120</v>
      </c>
      <c r="X50" s="8" t="s">
        <v>165</v>
      </c>
      <c r="Y50" s="11" t="s">
        <v>166</v>
      </c>
      <c r="Z50" s="8" t="s">
        <v>71</v>
      </c>
      <c r="AA50" s="11" t="s">
        <v>72</v>
      </c>
      <c r="AB50" s="12">
        <f t="shared" si="1"/>
        <v>0.49979599999999996</v>
      </c>
    </row>
    <row r="51" spans="1:28" s="4" customFormat="1" ht="13" x14ac:dyDescent="0.3">
      <c r="A51" s="5">
        <v>2487</v>
      </c>
      <c r="B51" s="6" t="s">
        <v>144</v>
      </c>
      <c r="C51" s="7">
        <v>43707</v>
      </c>
      <c r="D51" s="8">
        <v>70</v>
      </c>
      <c r="E51" s="9" t="s">
        <v>53</v>
      </c>
      <c r="F51" s="8" t="s">
        <v>176</v>
      </c>
      <c r="G51" s="11" t="s">
        <v>177</v>
      </c>
      <c r="H51" s="8" t="str">
        <f>"000026"</f>
        <v>000026</v>
      </c>
      <c r="I51" s="7">
        <v>42835</v>
      </c>
      <c r="J51" s="8" t="str">
        <f>"000034"</f>
        <v>000034</v>
      </c>
      <c r="K51" s="7">
        <v>43173</v>
      </c>
      <c r="L51" s="8" t="str">
        <f>"000125"</f>
        <v>000125</v>
      </c>
      <c r="M51" s="7">
        <v>43174</v>
      </c>
      <c r="N51" s="8">
        <v>17</v>
      </c>
      <c r="O51" s="8" t="str">
        <f>"004620"</f>
        <v>004620</v>
      </c>
      <c r="P51" s="7">
        <v>43696</v>
      </c>
      <c r="Q51" s="12">
        <v>8.8570200000000003</v>
      </c>
      <c r="R51" s="12">
        <v>0.19950000000000001</v>
      </c>
      <c r="S51" s="12">
        <v>8.6575199999999999</v>
      </c>
      <c r="T51" s="8">
        <v>173</v>
      </c>
      <c r="U51" s="7">
        <v>43707</v>
      </c>
      <c r="V51" s="8">
        <v>9880404202</v>
      </c>
      <c r="W51" s="11" t="s">
        <v>178</v>
      </c>
      <c r="X51" s="8" t="s">
        <v>32</v>
      </c>
      <c r="Y51" s="11" t="s">
        <v>33</v>
      </c>
      <c r="Z51" s="8" t="s">
        <v>71</v>
      </c>
      <c r="AA51" s="11" t="s">
        <v>72</v>
      </c>
      <c r="AB51" s="12">
        <f t="shared" si="1"/>
        <v>8.8570200000000002E-2</v>
      </c>
    </row>
    <row r="52" spans="1:28" s="4" customFormat="1" ht="13" x14ac:dyDescent="0.3">
      <c r="A52" s="5">
        <v>2488</v>
      </c>
      <c r="B52" s="6" t="s">
        <v>144</v>
      </c>
      <c r="C52" s="7">
        <v>43707</v>
      </c>
      <c r="D52" s="8">
        <v>70</v>
      </c>
      <c r="E52" s="9" t="s">
        <v>53</v>
      </c>
      <c r="F52" s="8" t="s">
        <v>179</v>
      </c>
      <c r="G52" s="11" t="s">
        <v>180</v>
      </c>
      <c r="H52" s="8" t="str">
        <f>"000018"</f>
        <v>000018</v>
      </c>
      <c r="I52" s="7">
        <v>42957</v>
      </c>
      <c r="J52" s="8" t="str">
        <f>"000020"</f>
        <v>000020</v>
      </c>
      <c r="K52" s="7">
        <v>43159</v>
      </c>
      <c r="L52" s="8" t="str">
        <f>"000138"</f>
        <v>000138</v>
      </c>
      <c r="M52" s="7">
        <v>43181</v>
      </c>
      <c r="N52" s="8">
        <v>17</v>
      </c>
      <c r="O52" s="8" t="str">
        <f>"004629"</f>
        <v>004629</v>
      </c>
      <c r="P52" s="7">
        <v>43696</v>
      </c>
      <c r="Q52" s="12">
        <v>19.992339999999999</v>
      </c>
      <c r="R52" s="12">
        <v>1.8692800000000001</v>
      </c>
      <c r="S52" s="12">
        <v>18.123059999999999</v>
      </c>
      <c r="T52" s="8">
        <v>173</v>
      </c>
      <c r="U52" s="7">
        <v>43707</v>
      </c>
      <c r="V52" s="8">
        <v>9448211012</v>
      </c>
      <c r="W52" s="11" t="s">
        <v>120</v>
      </c>
      <c r="X52" s="8" t="s">
        <v>142</v>
      </c>
      <c r="Y52" s="11" t="s">
        <v>143</v>
      </c>
      <c r="Z52" s="8" t="s">
        <v>71</v>
      </c>
      <c r="AA52" s="11" t="s">
        <v>72</v>
      </c>
      <c r="AB52" s="12">
        <f t="shared" si="1"/>
        <v>0.19992339999999997</v>
      </c>
    </row>
    <row r="53" spans="1:28" s="4" customFormat="1" ht="13" x14ac:dyDescent="0.3">
      <c r="A53" s="5">
        <v>2489</v>
      </c>
      <c r="B53" s="6" t="s">
        <v>144</v>
      </c>
      <c r="C53" s="7">
        <v>43707</v>
      </c>
      <c r="D53" s="8">
        <v>70</v>
      </c>
      <c r="E53" s="9" t="s">
        <v>53</v>
      </c>
      <c r="F53" s="8" t="s">
        <v>181</v>
      </c>
      <c r="G53" s="11" t="s">
        <v>182</v>
      </c>
      <c r="H53" s="8" t="str">
        <f>"000017"</f>
        <v>000017</v>
      </c>
      <c r="I53" s="7">
        <v>42957</v>
      </c>
      <c r="J53" s="8" t="str">
        <f>"000021"</f>
        <v>000021</v>
      </c>
      <c r="K53" s="7">
        <v>43159</v>
      </c>
      <c r="L53" s="8" t="str">
        <f>"000139"</f>
        <v>000139</v>
      </c>
      <c r="M53" s="7">
        <v>43181</v>
      </c>
      <c r="N53" s="8">
        <v>17</v>
      </c>
      <c r="O53" s="8" t="str">
        <f>"004630"</f>
        <v>004630</v>
      </c>
      <c r="P53" s="7">
        <v>43696</v>
      </c>
      <c r="Q53" s="12">
        <v>19.992339999999999</v>
      </c>
      <c r="R53" s="12">
        <v>1.8692800000000001</v>
      </c>
      <c r="S53" s="12">
        <v>18.123059999999999</v>
      </c>
      <c r="T53" s="8">
        <v>173</v>
      </c>
      <c r="U53" s="7">
        <v>43707</v>
      </c>
      <c r="V53" s="8">
        <v>9448211012</v>
      </c>
      <c r="W53" s="11" t="s">
        <v>120</v>
      </c>
      <c r="X53" s="8" t="s">
        <v>142</v>
      </c>
      <c r="Y53" s="11" t="s">
        <v>143</v>
      </c>
      <c r="Z53" s="8" t="s">
        <v>71</v>
      </c>
      <c r="AA53" s="11" t="s">
        <v>72</v>
      </c>
      <c r="AB53" s="12">
        <f t="shared" si="1"/>
        <v>0.19992339999999997</v>
      </c>
    </row>
    <row r="54" spans="1:28" s="4" customFormat="1" ht="13" x14ac:dyDescent="0.3">
      <c r="A54" s="5">
        <v>2490</v>
      </c>
      <c r="B54" s="6" t="s">
        <v>144</v>
      </c>
      <c r="C54" s="7">
        <v>43707</v>
      </c>
      <c r="D54" s="8">
        <v>70</v>
      </c>
      <c r="E54" s="9" t="s">
        <v>53</v>
      </c>
      <c r="F54" s="8" t="s">
        <v>183</v>
      </c>
      <c r="G54" s="11" t="s">
        <v>184</v>
      </c>
      <c r="H54" s="8" t="str">
        <f>"000019"</f>
        <v>000019</v>
      </c>
      <c r="I54" s="7">
        <v>42957</v>
      </c>
      <c r="J54" s="8" t="str">
        <f>"000022"</f>
        <v>000022</v>
      </c>
      <c r="K54" s="7">
        <v>43159</v>
      </c>
      <c r="L54" s="8" t="str">
        <f>"000140"</f>
        <v>000140</v>
      </c>
      <c r="M54" s="7">
        <v>43181</v>
      </c>
      <c r="N54" s="8">
        <v>17</v>
      </c>
      <c r="O54" s="8" t="str">
        <f>"004631"</f>
        <v>004631</v>
      </c>
      <c r="P54" s="7">
        <v>43696</v>
      </c>
      <c r="Q54" s="12">
        <v>19.992339999999999</v>
      </c>
      <c r="R54" s="12">
        <v>1.8692800000000001</v>
      </c>
      <c r="S54" s="12">
        <v>18.123059999999999</v>
      </c>
      <c r="T54" s="8">
        <v>173</v>
      </c>
      <c r="U54" s="7">
        <v>43707</v>
      </c>
      <c r="V54" s="8">
        <v>9448211012</v>
      </c>
      <c r="W54" s="11" t="s">
        <v>120</v>
      </c>
      <c r="X54" s="8" t="s">
        <v>142</v>
      </c>
      <c r="Y54" s="11" t="s">
        <v>143</v>
      </c>
      <c r="Z54" s="8" t="s">
        <v>71</v>
      </c>
      <c r="AA54" s="11" t="s">
        <v>72</v>
      </c>
      <c r="AB54" s="12">
        <f t="shared" si="1"/>
        <v>0.19992339999999997</v>
      </c>
    </row>
    <row r="55" spans="1:28" s="4" customFormat="1" ht="13" x14ac:dyDescent="0.3">
      <c r="A55" s="5">
        <v>2491</v>
      </c>
      <c r="B55" s="6" t="s">
        <v>185</v>
      </c>
      <c r="C55" s="7">
        <v>43721</v>
      </c>
      <c r="D55" s="8">
        <v>70</v>
      </c>
      <c r="E55" s="9" t="s">
        <v>53</v>
      </c>
      <c r="F55" s="8" t="s">
        <v>84</v>
      </c>
      <c r="G55" s="11" t="s">
        <v>85</v>
      </c>
      <c r="H55" s="8" t="str">
        <f>"000019"</f>
        <v>000019</v>
      </c>
      <c r="I55" s="7">
        <v>43388</v>
      </c>
      <c r="J55" s="8" t="str">
        <f>"000060"</f>
        <v>000060</v>
      </c>
      <c r="K55" s="7">
        <v>43545</v>
      </c>
      <c r="L55" s="8" t="str">
        <f>"000056"</f>
        <v>000056</v>
      </c>
      <c r="M55" s="7">
        <v>43553</v>
      </c>
      <c r="N55" s="8">
        <v>18</v>
      </c>
      <c r="O55" s="8" t="str">
        <f>"001010"</f>
        <v>001010</v>
      </c>
      <c r="P55" s="7">
        <v>43580</v>
      </c>
      <c r="Q55" s="12">
        <v>3.24</v>
      </c>
      <c r="R55" s="12">
        <v>0.38185999999999998</v>
      </c>
      <c r="S55" s="12">
        <v>2.8581400000000001</v>
      </c>
      <c r="T55" s="8">
        <v>185</v>
      </c>
      <c r="U55" s="7">
        <v>43721</v>
      </c>
      <c r="V55" s="8">
        <v>9008199482</v>
      </c>
      <c r="W55" s="11" t="s">
        <v>186</v>
      </c>
      <c r="X55" s="8" t="s">
        <v>41</v>
      </c>
      <c r="Y55" s="11" t="s">
        <v>42</v>
      </c>
      <c r="Z55" s="8" t="s">
        <v>44</v>
      </c>
      <c r="AA55" s="11" t="s">
        <v>45</v>
      </c>
      <c r="AB55" s="12">
        <f t="shared" si="1"/>
        <v>3.2400000000000005E-2</v>
      </c>
    </row>
    <row r="56" spans="1:28" s="4" customFormat="1" ht="13" x14ac:dyDescent="0.3">
      <c r="A56" s="5">
        <v>2492</v>
      </c>
      <c r="B56" s="6" t="s">
        <v>185</v>
      </c>
      <c r="C56" s="7">
        <v>43721</v>
      </c>
      <c r="D56" s="8">
        <v>70</v>
      </c>
      <c r="E56" s="9" t="s">
        <v>53</v>
      </c>
      <c r="F56" s="8" t="s">
        <v>57</v>
      </c>
      <c r="G56" s="11" t="s">
        <v>58</v>
      </c>
      <c r="H56" s="8" t="str">
        <f>"00008A"</f>
        <v>00008A</v>
      </c>
      <c r="I56" s="7">
        <v>42697</v>
      </c>
      <c r="J56" s="8" t="str">
        <f>"000009"</f>
        <v>000009</v>
      </c>
      <c r="K56" s="7">
        <v>43088</v>
      </c>
      <c r="L56" s="8" t="str">
        <f>"000008"</f>
        <v>000008</v>
      </c>
      <c r="M56" s="7">
        <v>43088</v>
      </c>
      <c r="N56" s="8">
        <v>16</v>
      </c>
      <c r="O56" s="8" t="str">
        <f>"003739"</f>
        <v>003739</v>
      </c>
      <c r="P56" s="7">
        <v>43294</v>
      </c>
      <c r="Q56" s="12">
        <v>3.50915</v>
      </c>
      <c r="R56" s="12">
        <v>0.51014000000000004</v>
      </c>
      <c r="S56" s="12">
        <v>2.9990100000000002</v>
      </c>
      <c r="T56" s="8">
        <v>186</v>
      </c>
      <c r="U56" s="7">
        <v>43721</v>
      </c>
      <c r="V56" s="8">
        <v>9845937419</v>
      </c>
      <c r="W56" s="11" t="s">
        <v>59</v>
      </c>
      <c r="X56" s="8" t="s">
        <v>29</v>
      </c>
      <c r="Y56" s="11" t="s">
        <v>30</v>
      </c>
      <c r="Z56" s="8" t="s">
        <v>37</v>
      </c>
      <c r="AA56" s="11" t="s">
        <v>38</v>
      </c>
      <c r="AB56" s="12">
        <f t="shared" si="1"/>
        <v>3.5091499999999998E-2</v>
      </c>
    </row>
    <row r="57" spans="1:28" s="4" customFormat="1" ht="13" x14ac:dyDescent="0.3">
      <c r="A57" s="5">
        <v>2493</v>
      </c>
      <c r="B57" s="6" t="s">
        <v>185</v>
      </c>
      <c r="C57" s="7">
        <v>43734</v>
      </c>
      <c r="D57" s="8">
        <v>70</v>
      </c>
      <c r="E57" s="9" t="s">
        <v>53</v>
      </c>
      <c r="F57" s="8" t="s">
        <v>187</v>
      </c>
      <c r="G57" s="11" t="s">
        <v>188</v>
      </c>
      <c r="H57" s="8" t="str">
        <f>"000030"</f>
        <v>000030</v>
      </c>
      <c r="I57" s="7">
        <v>43419</v>
      </c>
      <c r="J57" s="8" t="str">
        <f>"000037"</f>
        <v>000037</v>
      </c>
      <c r="K57" s="7">
        <v>43717</v>
      </c>
      <c r="L57" s="8" t="str">
        <f>"000039"</f>
        <v>000039</v>
      </c>
      <c r="M57" s="7">
        <v>43719</v>
      </c>
      <c r="N57" s="8">
        <v>18</v>
      </c>
      <c r="O57" s="8" t="str">
        <f>"005219"</f>
        <v>005219</v>
      </c>
      <c r="P57" s="7">
        <v>43727</v>
      </c>
      <c r="Q57" s="12">
        <v>3.4948600000000001</v>
      </c>
      <c r="R57" s="12">
        <v>1.2065399999999999</v>
      </c>
      <c r="S57" s="12">
        <v>2.2883200000000001</v>
      </c>
      <c r="T57" s="8">
        <v>202</v>
      </c>
      <c r="U57" s="7">
        <v>43734</v>
      </c>
      <c r="V57" s="8">
        <v>701975334</v>
      </c>
      <c r="W57" s="11" t="s">
        <v>43</v>
      </c>
      <c r="X57" s="8" t="s">
        <v>41</v>
      </c>
      <c r="Y57" s="11" t="s">
        <v>42</v>
      </c>
      <c r="Z57" s="8" t="s">
        <v>44</v>
      </c>
      <c r="AA57" s="11" t="s">
        <v>45</v>
      </c>
      <c r="AB57" s="12">
        <f t="shared" si="1"/>
        <v>3.4948600000000003E-2</v>
      </c>
    </row>
    <row r="58" spans="1:28" s="4" customFormat="1" ht="13" x14ac:dyDescent="0.3">
      <c r="A58" s="5">
        <v>2494</v>
      </c>
      <c r="B58" s="6" t="s">
        <v>189</v>
      </c>
      <c r="C58" s="7">
        <v>43795</v>
      </c>
      <c r="D58" s="5">
        <v>70</v>
      </c>
      <c r="E58" s="9" t="s">
        <v>53</v>
      </c>
      <c r="F58" s="8" t="s">
        <v>190</v>
      </c>
      <c r="G58" s="9" t="s">
        <v>191</v>
      </c>
      <c r="H58" s="8" t="str">
        <f>"000047"</f>
        <v>000047</v>
      </c>
      <c r="I58" s="7">
        <v>43174</v>
      </c>
      <c r="J58" s="8" t="str">
        <f>"000010"</f>
        <v>000010</v>
      </c>
      <c r="K58" s="7">
        <v>43266</v>
      </c>
      <c r="L58" s="8" t="str">
        <f>"000011"</f>
        <v>000011</v>
      </c>
      <c r="M58" s="7">
        <v>43266</v>
      </c>
      <c r="N58" s="8">
        <v>17</v>
      </c>
      <c r="O58" s="8" t="str">
        <f>"006246"</f>
        <v>006246</v>
      </c>
      <c r="P58" s="7">
        <v>43783</v>
      </c>
      <c r="Q58" s="10">
        <v>24.999479999999998</v>
      </c>
      <c r="R58" s="10">
        <v>2.4856600000000002</v>
      </c>
      <c r="S58" s="10">
        <v>22.513819999999999</v>
      </c>
      <c r="T58" s="8">
        <v>13</v>
      </c>
      <c r="U58" s="7">
        <v>43795</v>
      </c>
      <c r="V58" s="8">
        <v>9448121090</v>
      </c>
      <c r="W58" s="9" t="s">
        <v>192</v>
      </c>
      <c r="X58" s="8" t="s">
        <v>193</v>
      </c>
      <c r="Y58" s="9" t="s">
        <v>194</v>
      </c>
      <c r="Z58" s="8" t="s">
        <v>195</v>
      </c>
      <c r="AA58" s="9" t="s">
        <v>196</v>
      </c>
      <c r="AB58" s="10">
        <v>0.24999479999999999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2020-01-28T11:55:35Z</dcterms:modified>
</cp:coreProperties>
</file>