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<sst xmlns="http://schemas.openxmlformats.org/spreadsheetml/2006/main" count="433" uniqueCount="168">
  <si>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</si>
  <si>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</si>
  <si>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</si>
  <si>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</si>
  <si>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</si>
  <si>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</si>
  <si>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</si>
  <si>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</si>
  <si>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</si>
  <si>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</si>
  <si>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</si>
  <si>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</si>
  <si>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</si>
  <si>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</si>
  <si>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</si>
  <si>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</si>
  <si>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</si>
  <si>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</si>
  <si>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</si>
  <si>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</si>
  <si>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</si>
  <si>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</si>
  <si>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</si>
  <si>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</si>
  <si>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</si>
  <si>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</si>
  <si>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</si>
  <si>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</si>
  <si>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</si>
  <si>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</si>
  <si>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</si>
  <si>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</si>
  <si>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</si>
  <si>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</si>
  <si>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</si>
  <si>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P3106</t>
  </si>
  <si>
    <t>Nagarothana Works</t>
  </si>
  <si>
    <t>ddo466</t>
  </si>
  <si>
    <t xml:space="preserve"> Assistant Executive Engineer Electrical Dasarahalli Zone</t>
  </si>
  <si>
    <t>P3158</t>
  </si>
  <si>
    <t>SIP Infrastructure Project works</t>
  </si>
  <si>
    <t>ddo663</t>
  </si>
  <si>
    <t xml:space="preserve"> Executive Engineer Road Infrastructure Dasarahalli Division Central Zone</t>
  </si>
  <si>
    <t>KRIDL</t>
  </si>
  <si>
    <t>ddo313</t>
  </si>
  <si>
    <t xml:space="preserve"> Chief Engineer SWD Central Zone</t>
  </si>
  <si>
    <t>ddo022</t>
  </si>
  <si>
    <t xml:space="preserve"> Assistant Executive Engineer HeganaHalli SubDiv Dasarahalli Zone</t>
  </si>
  <si>
    <t>Heggana Halli</t>
  </si>
  <si>
    <t>071-18-000031</t>
  </si>
  <si>
    <t>Construction of culverts and U Shape drain for SWD near Om shakthi temple road in ward no.71</t>
  </si>
  <si>
    <t xml:space="preserve">M/s BVH Consulting engines </t>
  </si>
  <si>
    <t>071-18-000112</t>
  </si>
  <si>
    <t>Constrution of compund wall drainage in front of Indira Canteen to ward no.71</t>
  </si>
  <si>
    <t>Basavarajaiah MC</t>
  </si>
  <si>
    <t>071-16-000001</t>
  </si>
  <si>
    <t>Operation and Maintenance of stree light at Hegganahalli ward no. 71 Package D9</t>
  </si>
  <si>
    <t>M/s Chethan Electricals</t>
  </si>
  <si>
    <t>071-17-000021</t>
  </si>
  <si>
    <t>Development of roads in Hoysalanagara, Sanjeevininagara, Gajanananagara, Maruthinagar in ward no 71 Dhalli 2016-17 Package No 03</t>
  </si>
  <si>
    <t>BM Range Gowda</t>
  </si>
  <si>
    <t>304-17-000030</t>
  </si>
  <si>
    <t>Consultancy Services for Preparation of DPR for the Work of Comnprehensive Development of Roads in Hoysalanagar, Sanjeevininagar, Gajanananagar, Maruthinagar, Ward no 71 Dasarahalli GOK-2016-17-N-RI-DH-Package-03</t>
  </si>
  <si>
    <t>M/s. Star Builders and Developers, (Sri. C.S. Doreswamy),</t>
  </si>
  <si>
    <t>M/s. Civil-Tech Consultants &amp; Engineers</t>
  </si>
  <si>
    <t>071-18-000117</t>
  </si>
  <si>
    <t xml:space="preserve">Improvements to Roads and Drains at Main and Cross roads of Sunkadakatte and Hoysala Nagra in Ward No 71 Hegganahalli </t>
  </si>
  <si>
    <t>R.Shivaram</t>
  </si>
  <si>
    <t>071-17-000005</t>
  </si>
  <si>
    <t>Emegency works inHegganahalli in ward no 71 Heganahalli Sub division</t>
  </si>
  <si>
    <t>071-17-000020</t>
  </si>
  <si>
    <t>Ward maintenance by Engaging Labours tractors and JCB in Hegganahalli in ward no 71 Hegganahalli Sub division</t>
  </si>
  <si>
    <t>GNANEDRAMURTHY MD</t>
  </si>
  <si>
    <t>July</t>
  </si>
  <si>
    <t>071-17-000035</t>
  </si>
  <si>
    <t>Engagement of Gangman and Hiring of Troctor Tippers for cleaning and maintenance of road side drains and other civil works in ward 71</t>
  </si>
  <si>
    <t>Shankarappa M</t>
  </si>
  <si>
    <t>P3110</t>
  </si>
  <si>
    <t>14th Finance Commission Grant Works</t>
  </si>
  <si>
    <t>071-14-000020</t>
  </si>
  <si>
    <t>Filling of pot holes in Arterial and sub Arterial roads in Hegganahalli, ward no. 71</t>
  </si>
  <si>
    <t>P2019</t>
  </si>
  <si>
    <t>Major Road / Arterial / Sub Arterial Road Major Road Division</t>
  </si>
  <si>
    <t>071-18-000107</t>
  </si>
  <si>
    <t>Improvements to CC roads and drains at 6th main and its surrounding area in Friends colony in ward no 71 Hegganahalli</t>
  </si>
  <si>
    <t>P1878</t>
  </si>
  <si>
    <t>18per - Works (Bhagyajyothi, Sooru / Neeru Yojane and General) (54 Lakhs / New Wards)</t>
  </si>
  <si>
    <t>071-17-000011</t>
  </si>
  <si>
    <t>Improvements to drains and roads in Gajanananagara 10th cross from KTG road and Jai Maruthi Gym to Thimmappa house road in Hegganahalli in ward no 71 Heganahalli Sub division</t>
  </si>
  <si>
    <t>D V. Kumar</t>
  </si>
  <si>
    <t>August</t>
  </si>
  <si>
    <t>071-18-000113</t>
  </si>
  <si>
    <t xml:space="preserve">Providing pathway around Indira Canteen In ward No.71 </t>
  </si>
  <si>
    <t>071-19-000002</t>
  </si>
  <si>
    <t>Providing LED street Lights at Hegganahalli and Maruthi Nagara Surrouniding area in Ward No 71</t>
  </si>
  <si>
    <t>THE TECHNICAL MANAGER2(BBMP)KRIDL</t>
  </si>
  <si>
    <t>P3111</t>
  </si>
  <si>
    <t>State Finance Commission Untied Grant Works</t>
  </si>
  <si>
    <t>071-18-000001</t>
  </si>
  <si>
    <t>Improvements to roads at Pillappa Industrial Area, Hoysalanagara in ward no 71</t>
  </si>
  <si>
    <t>L.Raghunandan</t>
  </si>
  <si>
    <t>P2178</t>
  </si>
  <si>
    <t>Works sanctioned by Dy. Mayor</t>
  </si>
  <si>
    <t>071-18-000111</t>
  </si>
  <si>
    <t xml:space="preserve">Constrution of compund wall drainage in front of Indira Canteen to ward no.71 </t>
  </si>
  <si>
    <t>Basavarajaaiah MC</t>
  </si>
  <si>
    <t>071-18-000004</t>
  </si>
  <si>
    <t>Improvements to Main roads at Nadakerappa Industrial area in ward no 71</t>
  </si>
  <si>
    <t>GN Ramesh</t>
  </si>
  <si>
    <t>071-18-000003</t>
  </si>
  <si>
    <t>Improvements to cross roads at Byraveshwara Industrial area in ward no 71</t>
  </si>
  <si>
    <t>L Rahgunandan</t>
  </si>
  <si>
    <t>071-18-000010</t>
  </si>
  <si>
    <t xml:space="preserve">Improvements to roads and drain at Pillappa Industrial Area in ward No 71 </t>
  </si>
  <si>
    <t>P0190</t>
  </si>
  <si>
    <t>Works sanctioned by Hon Mayor</t>
  </si>
  <si>
    <t>071-18-000007</t>
  </si>
  <si>
    <t>Improvements to roads and drain at Sanjeevininagara 3rd Stage in ward No 71</t>
  </si>
  <si>
    <t>071-18-000002</t>
  </si>
  <si>
    <t>Improvements to roads at Shrushuthi Bank backside Andrahalli main road in ward no 71</t>
  </si>
  <si>
    <t>G N RAMESH</t>
  </si>
  <si>
    <t>September</t>
  </si>
  <si>
    <t>071-17-000022</t>
  </si>
  <si>
    <t xml:space="preserve">Providing drinking water works in Ward No 71 in Dasarahalli Division </t>
  </si>
  <si>
    <t>071-18-000106</t>
  </si>
  <si>
    <t>Improvements to CC roads and drains at 2nd main and its surrounding area in Mayura nagara in ward no 71 Hegganahalli</t>
  </si>
  <si>
    <t>071-18-000105</t>
  </si>
  <si>
    <t>Improvements to CC roads and drains at 1st main and its surrounding area in Shivanandhanagara in ward no 71 Hegganahalli</t>
  </si>
  <si>
    <t>071-18-000026</t>
  </si>
  <si>
    <t>Re construction of CC roads and drains at Shivanand Nagara in ward no 71</t>
  </si>
  <si>
    <t>071-18-000118</t>
  </si>
  <si>
    <t xml:space="preserve">Construction of CC Roads and drains at 2nd Main and its cross roads of Mayura Nagara in Ward No 71 </t>
  </si>
  <si>
    <t>071-18-000120</t>
  </si>
  <si>
    <t xml:space="preserve">Construction of CC Roads at Hoysalanagara Sunkadakatte in Ward No 71 </t>
  </si>
  <si>
    <t>October</t>
  </si>
  <si>
    <t>071-19-000011</t>
  </si>
  <si>
    <t>Improvements to CC Roads and Drains at Poojamma Temple road Hegganahalli Old Village in ward no 71 Hegganahalli</t>
  </si>
  <si>
    <t>RAMACHANDRAIAH</t>
  </si>
  <si>
    <t>November</t>
  </si>
  <si>
    <t>071-18-000100</t>
  </si>
  <si>
    <t>Construction of cement concrete roads and drains to 5th , 5th A, 6th A and other cross roads at Lakshmananagara in ward no 71</t>
  </si>
  <si>
    <t xml:space="preserve">R Shivaram </t>
  </si>
  <si>
    <t>071-18-000101</t>
  </si>
  <si>
    <t>Improvements to roads and drains to 6th 7th 8th and 10th cross and 1st main at Sanjeevini nagara 1st stage in ward no 71</t>
  </si>
  <si>
    <t>071-18-000102</t>
  </si>
  <si>
    <t>Improvements to roads and drains 1st 2nd 3rd 4th cross 6th main road surrounding of Neelakanteshwara temple at Sanjeevini nagara 1st stage in ward no 71</t>
  </si>
  <si>
    <t>R Shivaram</t>
  </si>
  <si>
    <t>071-18-000114</t>
  </si>
  <si>
    <t xml:space="preserve">Constrution of drainage in front of Indira Canteen ward No.71 </t>
  </si>
  <si>
    <t>Yogananda BM</t>
  </si>
  <si>
    <t>071-18-000116</t>
  </si>
  <si>
    <t>December</t>
  </si>
  <si>
    <t>071-19-000008</t>
  </si>
  <si>
    <t>Improvements to CC Roads and Drains at 4th cross and 5th cross roads surrounding area Friends Colony in ward no 71 Heggahalli</t>
  </si>
  <si>
    <t>071-18-000036</t>
  </si>
  <si>
    <t>Drilling of Borewells and providing water supply in Ward no 71 Hegganahalli</t>
  </si>
  <si>
    <t>P1802</t>
  </si>
  <si>
    <t>Water Supply New Areas</t>
  </si>
  <si>
    <t>071-18-000024</t>
  </si>
  <si>
    <t>Construction of concrete drain 4th cross Lakshman Nagara (Back side of Janatha Vidyanikethana School ) in ward no 71</t>
  </si>
  <si>
    <t>P3261</t>
  </si>
  <si>
    <t>Zone Works Special Grants to Womens represented wards Rs.20.00 Lakhs per ward</t>
  </si>
  <si>
    <t>071-15-000038</t>
  </si>
  <si>
    <t>Re-Asphalting to 3rd, 4th, 5th Main Roads of Sanjivininagar 1st Stage in Ward No.71</t>
  </si>
  <si>
    <t>P2415</t>
  </si>
  <si>
    <t>Reserve fund for TandF Committee</t>
  </si>
  <si>
    <t>071-15-000041</t>
  </si>
  <si>
    <t>Removing and Re-aligning of drains of Cross Roads of 1st A Main, 7th Main, 8th Main of Lakshmananagara in Ward No.71.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</si>
</sst>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workbookViewId="0">
      <selection activeCell="A2" sqref="A2:XFD46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2495</v>
      </c>
      <c r="B2" s="6" t="s">
        <v>28</v>
      </c>
      <c r="C2" s="7">
        <v>43560</v>
      </c>
      <c r="D2" s="8">
        <v>71</v>
      </c>
      <c r="E2" s="9" t="s">
        <v>48</v>
      </c>
      <c r="F2" s="8" t="s">
        <v>49</v>
      </c>
      <c r="G2" s="9" t="s">
        <v>50</v>
      </c>
      <c r="H2" s="8" t="str">
        <f>"000001"</f>
        <v>000001</v>
      </c>
      <c r="I2" s="7">
        <v>43280</v>
      </c>
      <c r="J2" s="8" t="str">
        <f>"000001"</f>
        <v>000001</v>
      </c>
      <c r="K2" s="7">
        <v>43280</v>
      </c>
      <c r="L2" s="8" t="str">
        <f>"000053"</f>
        <v>000053</v>
      </c>
      <c r="M2" s="7">
        <v>43280</v>
      </c>
      <c r="N2" s="8">
        <v>18</v>
      </c>
      <c r="O2" s="8" t="str">
        <f>"006232"</f>
        <v>006232</v>
      </c>
      <c r="P2" s="7">
        <v>43379</v>
      </c>
      <c r="Q2" s="10">
        <v>2.85</v>
      </c>
      <c r="R2" s="10">
        <v>0.28499999999999998</v>
      </c>
      <c r="S2" s="10">
        <v>2.5649999999999999</v>
      </c>
      <c r="T2" s="8">
        <v>3</v>
      </c>
      <c r="U2" s="7">
        <v>43560</v>
      </c>
      <c r="V2" s="8">
        <v>9964339888</v>
      </c>
      <c r="W2" s="9" t="s">
        <v>51</v>
      </c>
      <c r="X2" s="8" t="s">
        <v>35</v>
      </c>
      <c r="Y2" s="9" t="s">
        <v>36</v>
      </c>
      <c r="Z2" s="8" t="s">
        <v>44</v>
      </c>
      <c r="AA2" s="9" t="s">
        <v>45</v>
      </c>
      <c r="AB2" s="10">
        <f t="shared" ref="AB2:AB12" si="0">Q2/100</f>
        <v>2.8500000000000001E-2</v>
      </c>
    </row>
    <row r="3" spans="1:28" s="4" customFormat="1" ht="13" x14ac:dyDescent="0.3">
      <c r="A3" s="5">
        <v>2496</v>
      </c>
      <c r="B3" s="6" t="s">
        <v>28</v>
      </c>
      <c r="C3" s="7">
        <v>43564</v>
      </c>
      <c r="D3" s="8">
        <v>71</v>
      </c>
      <c r="E3" s="9" t="s">
        <v>48</v>
      </c>
      <c r="F3" s="8" t="s">
        <v>52</v>
      </c>
      <c r="G3" s="9" t="s">
        <v>53</v>
      </c>
      <c r="H3" s="8" t="str">
        <f>"000277"</f>
        <v>000277</v>
      </c>
      <c r="I3" s="7">
        <v>43447</v>
      </c>
      <c r="J3" s="8" t="str">
        <f>"000080"</f>
        <v>000080</v>
      </c>
      <c r="K3" s="7">
        <v>43453</v>
      </c>
      <c r="L3" s="8" t="str">
        <f>"000265"</f>
        <v>000265</v>
      </c>
      <c r="M3" s="7">
        <v>43456</v>
      </c>
      <c r="N3" s="8">
        <v>18</v>
      </c>
      <c r="O3" s="8" t="str">
        <f>"000068"</f>
        <v>000068</v>
      </c>
      <c r="P3" s="7">
        <v>43560</v>
      </c>
      <c r="Q3" s="10">
        <v>4.8659100000000004</v>
      </c>
      <c r="R3" s="10">
        <v>0.23774000000000001</v>
      </c>
      <c r="S3" s="10">
        <v>4.6281699999999999</v>
      </c>
      <c r="T3" s="8">
        <v>6</v>
      </c>
      <c r="U3" s="7">
        <v>43564</v>
      </c>
      <c r="V3" s="8">
        <v>9448543119</v>
      </c>
      <c r="W3" s="9" t="s">
        <v>54</v>
      </c>
      <c r="X3" s="8" t="s">
        <v>35</v>
      </c>
      <c r="Y3" s="9" t="s">
        <v>36</v>
      </c>
      <c r="Z3" s="8" t="s">
        <v>46</v>
      </c>
      <c r="AA3" s="9" t="s">
        <v>47</v>
      </c>
      <c r="AB3" s="10">
        <f t="shared" si="0"/>
        <v>4.8659100000000004E-2</v>
      </c>
    </row>
    <row r="4" spans="1:28" s="4" customFormat="1" ht="13" x14ac:dyDescent="0.3">
      <c r="A4" s="5">
        <v>2497</v>
      </c>
      <c r="B4" s="6" t="s">
        <v>28</v>
      </c>
      <c r="C4" s="7">
        <v>43567</v>
      </c>
      <c r="D4" s="8">
        <v>71</v>
      </c>
      <c r="E4" s="9" t="s">
        <v>48</v>
      </c>
      <c r="F4" s="8" t="s">
        <v>55</v>
      </c>
      <c r="G4" s="9" t="s">
        <v>56</v>
      </c>
      <c r="H4" s="8" t="str">
        <f>"00009A"</f>
        <v>00009A</v>
      </c>
      <c r="I4" s="7">
        <v>42697</v>
      </c>
      <c r="J4" s="8" t="str">
        <f>"000017"</f>
        <v>000017</v>
      </c>
      <c r="K4" s="7">
        <v>42916</v>
      </c>
      <c r="L4" s="8" t="str">
        <f>"000017"</f>
        <v>000017</v>
      </c>
      <c r="M4" s="7">
        <v>42916</v>
      </c>
      <c r="N4" s="8">
        <v>16</v>
      </c>
      <c r="O4" s="8" t="str">
        <f>"003598"</f>
        <v>003598</v>
      </c>
      <c r="P4" s="7">
        <v>43292</v>
      </c>
      <c r="Q4" s="10">
        <v>9.8107500000000005</v>
      </c>
      <c r="R4" s="10">
        <v>1.07345</v>
      </c>
      <c r="S4" s="10">
        <v>8.7372999999999994</v>
      </c>
      <c r="T4" s="8">
        <v>17</v>
      </c>
      <c r="U4" s="7">
        <v>43567</v>
      </c>
      <c r="V4" s="8">
        <v>9986319631</v>
      </c>
      <c r="W4" s="9" t="s">
        <v>57</v>
      </c>
      <c r="X4" s="8" t="s">
        <v>29</v>
      </c>
      <c r="Y4" s="9" t="s">
        <v>30</v>
      </c>
      <c r="Z4" s="8" t="s">
        <v>37</v>
      </c>
      <c r="AA4" s="9" t="s">
        <v>38</v>
      </c>
      <c r="AB4" s="10">
        <f t="shared" si="0"/>
        <v>9.81075E-2</v>
      </c>
    </row>
    <row r="5" spans="1:28" s="4" customFormat="1" ht="13" x14ac:dyDescent="0.3">
      <c r="A5" s="5">
        <v>2498</v>
      </c>
      <c r="B5" s="6" t="s">
        <v>28</v>
      </c>
      <c r="C5" s="7">
        <v>43571</v>
      </c>
      <c r="D5" s="8">
        <v>71</v>
      </c>
      <c r="E5" s="9" t="s">
        <v>48</v>
      </c>
      <c r="F5" s="8" t="s">
        <v>58</v>
      </c>
      <c r="G5" s="9" t="s">
        <v>59</v>
      </c>
      <c r="H5" s="8" t="str">
        <f>"000295"</f>
        <v>000295</v>
      </c>
      <c r="I5" s="7">
        <v>43178</v>
      </c>
      <c r="J5" s="8" t="str">
        <f>"000089"</f>
        <v>000089</v>
      </c>
      <c r="K5" s="7">
        <v>43482</v>
      </c>
      <c r="L5" s="8" t="str">
        <f>"000294"</f>
        <v>000294</v>
      </c>
      <c r="M5" s="7">
        <v>43483</v>
      </c>
      <c r="N5" s="8">
        <v>17</v>
      </c>
      <c r="O5" s="8" t="str">
        <f>"000547"</f>
        <v>000547</v>
      </c>
      <c r="P5" s="7">
        <v>43569</v>
      </c>
      <c r="Q5" s="10">
        <v>44.35033</v>
      </c>
      <c r="R5" s="10">
        <v>2.6230099999999998</v>
      </c>
      <c r="S5" s="10">
        <v>41.727319999999999</v>
      </c>
      <c r="T5" s="8">
        <v>18</v>
      </c>
      <c r="U5" s="7">
        <v>43571</v>
      </c>
      <c r="V5" s="8">
        <v>9743188999</v>
      </c>
      <c r="W5" s="9" t="s">
        <v>60</v>
      </c>
      <c r="X5" s="8" t="s">
        <v>39</v>
      </c>
      <c r="Y5" s="9" t="s">
        <v>40</v>
      </c>
      <c r="Z5" s="8" t="s">
        <v>46</v>
      </c>
      <c r="AA5" s="9" t="s">
        <v>47</v>
      </c>
      <c r="AB5" s="10">
        <f t="shared" si="0"/>
        <v>0.44350329999999999</v>
      </c>
    </row>
    <row r="6" spans="1:28" s="4" customFormat="1" ht="13" x14ac:dyDescent="0.3">
      <c r="A6" s="5">
        <v>2499</v>
      </c>
      <c r="B6" s="6" t="s">
        <v>28</v>
      </c>
      <c r="C6" s="7">
        <v>43575</v>
      </c>
      <c r="D6" s="8">
        <v>71</v>
      </c>
      <c r="E6" s="9" t="s">
        <v>48</v>
      </c>
      <c r="F6" s="8" t="s">
        <v>55</v>
      </c>
      <c r="G6" s="9" t="s">
        <v>56</v>
      </c>
      <c r="H6" s="8" t="str">
        <f>"00009A"</f>
        <v>00009A</v>
      </c>
      <c r="I6" s="7">
        <v>42697</v>
      </c>
      <c r="J6" s="8" t="str">
        <f>"000017"</f>
        <v>000017</v>
      </c>
      <c r="K6" s="7">
        <v>42916</v>
      </c>
      <c r="L6" s="8" t="str">
        <f>"000017"</f>
        <v>000017</v>
      </c>
      <c r="M6" s="7">
        <v>42916</v>
      </c>
      <c r="N6" s="8">
        <v>16</v>
      </c>
      <c r="O6" s="8" t="str">
        <f>"003598"</f>
        <v>003598</v>
      </c>
      <c r="P6" s="7">
        <v>43292</v>
      </c>
      <c r="Q6" s="10">
        <v>7.0076799999999997</v>
      </c>
      <c r="R6" s="10">
        <v>0.89542999999999995</v>
      </c>
      <c r="S6" s="10">
        <v>6.1122500000000004</v>
      </c>
      <c r="T6" s="8">
        <v>20</v>
      </c>
      <c r="U6" s="7">
        <v>43575</v>
      </c>
      <c r="V6" s="8">
        <v>9986319631</v>
      </c>
      <c r="W6" s="9" t="s">
        <v>57</v>
      </c>
      <c r="X6" s="8" t="s">
        <v>29</v>
      </c>
      <c r="Y6" s="9" t="s">
        <v>30</v>
      </c>
      <c r="Z6" s="8" t="s">
        <v>37</v>
      </c>
      <c r="AA6" s="9" t="s">
        <v>38</v>
      </c>
      <c r="AB6" s="10">
        <f t="shared" si="0"/>
        <v>7.0076799999999995E-2</v>
      </c>
    </row>
    <row r="7" spans="1:28" s="4" customFormat="1" ht="13" x14ac:dyDescent="0.3">
      <c r="A7" s="5">
        <v>2500</v>
      </c>
      <c r="B7" s="6" t="s">
        <v>34</v>
      </c>
      <c r="C7" s="7">
        <v>43588</v>
      </c>
      <c r="D7" s="8">
        <v>71</v>
      </c>
      <c r="E7" s="9" t="s">
        <v>48</v>
      </c>
      <c r="F7" s="8" t="s">
        <v>61</v>
      </c>
      <c r="G7" s="9" t="s">
        <v>62</v>
      </c>
      <c r="H7" s="8" t="str">
        <f>"000004"</f>
        <v>000004</v>
      </c>
      <c r="I7" s="7">
        <v>42630</v>
      </c>
      <c r="J7" s="8" t="str">
        <f>"000005"</f>
        <v>000005</v>
      </c>
      <c r="K7" s="7">
        <v>43133</v>
      </c>
      <c r="L7" s="8" t="str">
        <f>"000005"</f>
        <v>000005</v>
      </c>
      <c r="M7" s="7">
        <v>43133</v>
      </c>
      <c r="N7" s="8">
        <v>17</v>
      </c>
      <c r="O7" s="8" t="str">
        <f>"010761"</f>
        <v>010761</v>
      </c>
      <c r="P7" s="7">
        <v>43182</v>
      </c>
      <c r="Q7" s="10">
        <v>578.14616000000001</v>
      </c>
      <c r="R7" s="10">
        <v>34.920659999999998</v>
      </c>
      <c r="S7" s="10">
        <v>543.22550000000001</v>
      </c>
      <c r="T7" s="8">
        <v>33</v>
      </c>
      <c r="U7" s="7">
        <v>43588</v>
      </c>
      <c r="V7" s="8">
        <v>9886014403</v>
      </c>
      <c r="W7" s="9" t="s">
        <v>63</v>
      </c>
      <c r="X7" s="8" t="s">
        <v>39</v>
      </c>
      <c r="Y7" s="9" t="s">
        <v>40</v>
      </c>
      <c r="Z7" s="8" t="s">
        <v>41</v>
      </c>
      <c r="AA7" s="9" t="s">
        <v>42</v>
      </c>
      <c r="AB7" s="10">
        <f t="shared" si="0"/>
        <v>5.7814616000000001</v>
      </c>
    </row>
    <row r="8" spans="1:28" s="4" customFormat="1" ht="13" x14ac:dyDescent="0.3">
      <c r="A8" s="5">
        <v>2501</v>
      </c>
      <c r="B8" s="6" t="s">
        <v>34</v>
      </c>
      <c r="C8" s="7">
        <v>43588</v>
      </c>
      <c r="D8" s="8">
        <v>71</v>
      </c>
      <c r="E8" s="9" t="s">
        <v>48</v>
      </c>
      <c r="F8" s="8" t="s">
        <v>61</v>
      </c>
      <c r="G8" s="9" t="s">
        <v>62</v>
      </c>
      <c r="H8" s="8" t="str">
        <f>"000004"</f>
        <v>000004</v>
      </c>
      <c r="I8" s="7">
        <v>42630</v>
      </c>
      <c r="J8" s="8" t="str">
        <f>"000005"</f>
        <v>000005</v>
      </c>
      <c r="K8" s="7">
        <v>43133</v>
      </c>
      <c r="L8" s="8" t="str">
        <f>"000005"</f>
        <v>000005</v>
      </c>
      <c r="M8" s="7">
        <v>43133</v>
      </c>
      <c r="N8" s="8">
        <v>17</v>
      </c>
      <c r="O8" s="8" t="str">
        <f>"010761"</f>
        <v>010761</v>
      </c>
      <c r="P8" s="7">
        <v>43182</v>
      </c>
      <c r="Q8" s="10">
        <v>8.4692699999999999</v>
      </c>
      <c r="R8" s="10">
        <v>1.3566800000000001</v>
      </c>
      <c r="S8" s="10">
        <v>7.11259</v>
      </c>
      <c r="T8" s="8">
        <v>33</v>
      </c>
      <c r="U8" s="7">
        <v>43588</v>
      </c>
      <c r="V8" s="8">
        <v>9342839190</v>
      </c>
      <c r="W8" s="9" t="s">
        <v>64</v>
      </c>
      <c r="X8" s="8" t="s">
        <v>39</v>
      </c>
      <c r="Y8" s="9" t="s">
        <v>40</v>
      </c>
      <c r="Z8" s="8" t="s">
        <v>41</v>
      </c>
      <c r="AA8" s="9" t="s">
        <v>42</v>
      </c>
      <c r="AB8" s="10">
        <f t="shared" si="0"/>
        <v>8.4692699999999996E-2</v>
      </c>
    </row>
    <row r="9" spans="1:28" s="4" customFormat="1" ht="13" x14ac:dyDescent="0.3">
      <c r="A9" s="5">
        <v>2502</v>
      </c>
      <c r="B9" s="6" t="s">
        <v>34</v>
      </c>
      <c r="C9" s="7">
        <v>43588</v>
      </c>
      <c r="D9" s="8">
        <v>71</v>
      </c>
      <c r="E9" s="9" t="s">
        <v>48</v>
      </c>
      <c r="F9" s="8" t="s">
        <v>65</v>
      </c>
      <c r="G9" s="9" t="s">
        <v>66</v>
      </c>
      <c r="H9" s="8" t="str">
        <f>"000271"</f>
        <v>000271</v>
      </c>
      <c r="I9" s="7">
        <v>43444</v>
      </c>
      <c r="J9" s="8" t="str">
        <f>"000100"</f>
        <v>000100</v>
      </c>
      <c r="K9" s="7">
        <v>43553</v>
      </c>
      <c r="L9" s="8" t="str">
        <f>"000342"</f>
        <v>000342</v>
      </c>
      <c r="M9" s="7">
        <v>43554</v>
      </c>
      <c r="N9" s="8">
        <v>18</v>
      </c>
      <c r="O9" s="8" t="str">
        <f>"001146"</f>
        <v>001146</v>
      </c>
      <c r="P9" s="7">
        <v>43581</v>
      </c>
      <c r="Q9" s="10">
        <v>98.655590000000004</v>
      </c>
      <c r="R9" s="10">
        <v>4.5616599999999998</v>
      </c>
      <c r="S9" s="10">
        <v>94.09393</v>
      </c>
      <c r="T9" s="8">
        <v>33</v>
      </c>
      <c r="U9" s="7">
        <v>43588</v>
      </c>
      <c r="V9" s="8">
        <v>9036033962</v>
      </c>
      <c r="W9" s="9" t="s">
        <v>67</v>
      </c>
      <c r="X9" s="8" t="s">
        <v>39</v>
      </c>
      <c r="Y9" s="9" t="s">
        <v>40</v>
      </c>
      <c r="Z9" s="8" t="s">
        <v>46</v>
      </c>
      <c r="AA9" s="9" t="s">
        <v>47</v>
      </c>
      <c r="AB9" s="10">
        <f t="shared" si="0"/>
        <v>0.98655590000000004</v>
      </c>
    </row>
    <row r="10" spans="1:28" s="4" customFormat="1" ht="13" x14ac:dyDescent="0.3">
      <c r="A10" s="5">
        <v>2503</v>
      </c>
      <c r="B10" s="6" t="s">
        <v>34</v>
      </c>
      <c r="C10" s="7">
        <v>43602</v>
      </c>
      <c r="D10" s="8">
        <v>71</v>
      </c>
      <c r="E10" s="9" t="s">
        <v>48</v>
      </c>
      <c r="F10" s="8" t="s">
        <v>68</v>
      </c>
      <c r="G10" s="9" t="s">
        <v>69</v>
      </c>
      <c r="H10" s="8" t="str">
        <f>"000108"</f>
        <v>000108</v>
      </c>
      <c r="I10" s="7">
        <v>42907</v>
      </c>
      <c r="J10" s="8" t="str">
        <f>"000001"</f>
        <v>000001</v>
      </c>
      <c r="K10" s="7">
        <v>42965</v>
      </c>
      <c r="L10" s="8" t="str">
        <f>"000009"</f>
        <v>000009</v>
      </c>
      <c r="M10" s="7">
        <v>42991</v>
      </c>
      <c r="N10" s="8">
        <v>17</v>
      </c>
      <c r="O10" s="8" t="str">
        <f>"001538"</f>
        <v>001538</v>
      </c>
      <c r="P10" s="7">
        <v>43599</v>
      </c>
      <c r="Q10" s="10">
        <v>19.965070000000001</v>
      </c>
      <c r="R10" s="10">
        <v>1.84673</v>
      </c>
      <c r="S10" s="10">
        <v>18.11834</v>
      </c>
      <c r="T10" s="8">
        <v>49</v>
      </c>
      <c r="U10" s="7">
        <v>43602</v>
      </c>
      <c r="V10" s="8">
        <v>9449219009</v>
      </c>
      <c r="W10" s="9" t="s">
        <v>43</v>
      </c>
      <c r="X10" s="8" t="s">
        <v>32</v>
      </c>
      <c r="Y10" s="9" t="s">
        <v>33</v>
      </c>
      <c r="Z10" s="8" t="s">
        <v>46</v>
      </c>
      <c r="AA10" s="9" t="s">
        <v>47</v>
      </c>
      <c r="AB10" s="10">
        <f t="shared" si="0"/>
        <v>0.19965070000000001</v>
      </c>
    </row>
    <row r="11" spans="1:28" s="4" customFormat="1" ht="13" x14ac:dyDescent="0.3">
      <c r="A11" s="5">
        <v>2504</v>
      </c>
      <c r="B11" s="6" t="s">
        <v>34</v>
      </c>
      <c r="C11" s="7">
        <v>43606</v>
      </c>
      <c r="D11" s="8">
        <v>71</v>
      </c>
      <c r="E11" s="9" t="s">
        <v>48</v>
      </c>
      <c r="F11" s="8" t="s">
        <v>55</v>
      </c>
      <c r="G11" s="9" t="s">
        <v>56</v>
      </c>
      <c r="H11" s="8" t="str">
        <f>"00009A"</f>
        <v>00009A</v>
      </c>
      <c r="I11" s="7">
        <v>42697</v>
      </c>
      <c r="J11" s="8" t="str">
        <f>"000017"</f>
        <v>000017</v>
      </c>
      <c r="K11" s="7">
        <v>42916</v>
      </c>
      <c r="L11" s="8" t="str">
        <f>"000017"</f>
        <v>000017</v>
      </c>
      <c r="M11" s="7">
        <v>42916</v>
      </c>
      <c r="N11" s="8">
        <v>16</v>
      </c>
      <c r="O11" s="8" t="str">
        <f>"003598"</f>
        <v>003598</v>
      </c>
      <c r="P11" s="7">
        <v>43292</v>
      </c>
      <c r="Q11" s="10">
        <v>2.80307</v>
      </c>
      <c r="R11" s="10">
        <v>0.39617000000000002</v>
      </c>
      <c r="S11" s="10">
        <v>2.4068999999999998</v>
      </c>
      <c r="T11" s="8">
        <v>55</v>
      </c>
      <c r="U11" s="7">
        <v>43606</v>
      </c>
      <c r="V11" s="8">
        <v>9986319631</v>
      </c>
      <c r="W11" s="9" t="s">
        <v>57</v>
      </c>
      <c r="X11" s="8" t="s">
        <v>29</v>
      </c>
      <c r="Y11" s="9" t="s">
        <v>30</v>
      </c>
      <c r="Z11" s="8" t="s">
        <v>37</v>
      </c>
      <c r="AA11" s="9" t="s">
        <v>38</v>
      </c>
      <c r="AB11" s="10">
        <f t="shared" si="0"/>
        <v>2.8030699999999999E-2</v>
      </c>
    </row>
    <row r="12" spans="1:28" s="4" customFormat="1" ht="13" x14ac:dyDescent="0.3">
      <c r="A12" s="5">
        <v>2505</v>
      </c>
      <c r="B12" s="6" t="s">
        <v>34</v>
      </c>
      <c r="C12" s="7">
        <v>43610</v>
      </c>
      <c r="D12" s="8">
        <v>71</v>
      </c>
      <c r="E12" s="9" t="s">
        <v>48</v>
      </c>
      <c r="F12" s="8" t="s">
        <v>70</v>
      </c>
      <c r="G12" s="9" t="s">
        <v>71</v>
      </c>
      <c r="H12" s="8" t="str">
        <f>"000072"</f>
        <v>000072</v>
      </c>
      <c r="I12" s="7">
        <v>42870</v>
      </c>
      <c r="J12" s="8" t="str">
        <f>"000010"</f>
        <v>000010</v>
      </c>
      <c r="K12" s="7">
        <v>43098</v>
      </c>
      <c r="L12" s="8" t="str">
        <f>"000096"</f>
        <v>000096</v>
      </c>
      <c r="M12" s="7">
        <v>43138</v>
      </c>
      <c r="N12" s="8">
        <v>17</v>
      </c>
      <c r="O12" s="8" t="str">
        <f>"002066"</f>
        <v>002066</v>
      </c>
      <c r="P12" s="7">
        <v>43609</v>
      </c>
      <c r="Q12" s="10">
        <v>17.902560000000001</v>
      </c>
      <c r="R12" s="10">
        <v>0.37596000000000002</v>
      </c>
      <c r="S12" s="10">
        <v>17.526599999999998</v>
      </c>
      <c r="T12" s="8">
        <v>59</v>
      </c>
      <c r="U12" s="7">
        <v>43610</v>
      </c>
      <c r="V12" s="8">
        <v>9986020978</v>
      </c>
      <c r="W12" s="9" t="s">
        <v>72</v>
      </c>
      <c r="X12" s="8" t="s">
        <v>32</v>
      </c>
      <c r="Y12" s="9" t="s">
        <v>33</v>
      </c>
      <c r="Z12" s="8" t="s">
        <v>46</v>
      </c>
      <c r="AA12" s="9" t="s">
        <v>47</v>
      </c>
      <c r="AB12" s="10">
        <f t="shared" si="0"/>
        <v>0.17902560000000001</v>
      </c>
    </row>
    <row r="13" spans="1:28" s="4" customFormat="1" ht="13" x14ac:dyDescent="0.3">
      <c r="A13" s="5">
        <v>2506</v>
      </c>
      <c r="B13" s="6" t="s">
        <v>31</v>
      </c>
      <c r="C13" s="7">
        <v>43623</v>
      </c>
      <c r="D13" s="8">
        <v>71</v>
      </c>
      <c r="E13" s="9" t="s">
        <v>48</v>
      </c>
      <c r="F13" s="8" t="s">
        <v>55</v>
      </c>
      <c r="G13" s="9" t="s">
        <v>56</v>
      </c>
      <c r="H13" s="8" t="str">
        <f>"00009A"</f>
        <v>00009A</v>
      </c>
      <c r="I13" s="7">
        <v>42697</v>
      </c>
      <c r="J13" s="8" t="str">
        <f>"000017"</f>
        <v>000017</v>
      </c>
      <c r="K13" s="7">
        <v>42916</v>
      </c>
      <c r="L13" s="8" t="str">
        <f>"000017"</f>
        <v>000017</v>
      </c>
      <c r="M13" s="7">
        <v>42916</v>
      </c>
      <c r="N13" s="8">
        <v>16</v>
      </c>
      <c r="O13" s="8" t="str">
        <f>"003598"</f>
        <v>003598</v>
      </c>
      <c r="P13" s="7">
        <v>43292</v>
      </c>
      <c r="Q13" s="10">
        <v>4.2046000000000001</v>
      </c>
      <c r="R13" s="10">
        <v>0.54876999999999998</v>
      </c>
      <c r="S13" s="10">
        <v>3.6558299999999999</v>
      </c>
      <c r="T13" s="8">
        <v>73</v>
      </c>
      <c r="U13" s="7">
        <v>43623</v>
      </c>
      <c r="V13" s="8">
        <v>9986319631</v>
      </c>
      <c r="W13" s="9" t="s">
        <v>57</v>
      </c>
      <c r="X13" s="8" t="s">
        <v>29</v>
      </c>
      <c r="Y13" s="9" t="s">
        <v>30</v>
      </c>
      <c r="Z13" s="8" t="s">
        <v>37</v>
      </c>
      <c r="AA13" s="9" t="s">
        <v>38</v>
      </c>
      <c r="AB13" s="10">
        <v>4.2046E-2</v>
      </c>
    </row>
    <row r="14" spans="1:28" s="4" customFormat="1" ht="13" x14ac:dyDescent="0.3">
      <c r="A14" s="5">
        <v>2507</v>
      </c>
      <c r="B14" s="6" t="s">
        <v>73</v>
      </c>
      <c r="C14" s="7">
        <v>43668</v>
      </c>
      <c r="D14" s="8">
        <v>71</v>
      </c>
      <c r="E14" s="9" t="s">
        <v>48</v>
      </c>
      <c r="F14" s="8" t="s">
        <v>74</v>
      </c>
      <c r="G14" s="11" t="s">
        <v>75</v>
      </c>
      <c r="H14" s="8" t="str">
        <f>"000001"</f>
        <v>000001</v>
      </c>
      <c r="I14" s="7">
        <v>43242</v>
      </c>
      <c r="J14" s="8" t="str">
        <f>"000087"</f>
        <v>000087</v>
      </c>
      <c r="K14" s="7">
        <v>43474</v>
      </c>
      <c r="L14" s="8" t="str">
        <f>"000316"</f>
        <v>000316</v>
      </c>
      <c r="M14" s="7">
        <v>43511</v>
      </c>
      <c r="N14" s="8">
        <v>17</v>
      </c>
      <c r="O14" s="8" t="str">
        <f>"003383"</f>
        <v>003383</v>
      </c>
      <c r="P14" s="7">
        <v>43657</v>
      </c>
      <c r="Q14" s="12">
        <v>11.49498</v>
      </c>
      <c r="R14" s="12">
        <v>0.44664999999999999</v>
      </c>
      <c r="S14" s="12">
        <v>11.04833</v>
      </c>
      <c r="T14" s="8">
        <v>119</v>
      </c>
      <c r="U14" s="7">
        <v>43668</v>
      </c>
      <c r="V14" s="8">
        <v>9448912107</v>
      </c>
      <c r="W14" s="11" t="s">
        <v>76</v>
      </c>
      <c r="X14" s="8" t="s">
        <v>77</v>
      </c>
      <c r="Y14" s="11" t="s">
        <v>78</v>
      </c>
      <c r="Z14" s="8" t="s">
        <v>46</v>
      </c>
      <c r="AA14" s="11" t="s">
        <v>47</v>
      </c>
      <c r="AB14" s="12">
        <f t="shared" ref="AB14:AB34" si="1">Q14/100</f>
        <v>0.1149498</v>
      </c>
    </row>
    <row r="15" spans="1:28" s="4" customFormat="1" ht="13" x14ac:dyDescent="0.3">
      <c r="A15" s="5">
        <v>2508</v>
      </c>
      <c r="B15" s="6" t="s">
        <v>73</v>
      </c>
      <c r="C15" s="7">
        <v>43671</v>
      </c>
      <c r="D15" s="8">
        <v>71</v>
      </c>
      <c r="E15" s="9" t="s">
        <v>48</v>
      </c>
      <c r="F15" s="8" t="s">
        <v>79</v>
      </c>
      <c r="G15" s="11" t="s">
        <v>80</v>
      </c>
      <c r="H15" s="8" t="str">
        <f>"000178"</f>
        <v>000178</v>
      </c>
      <c r="I15" s="7">
        <v>41628</v>
      </c>
      <c r="J15" s="8" t="str">
        <f>"000342"</f>
        <v>000342</v>
      </c>
      <c r="K15" s="7">
        <v>42277</v>
      </c>
      <c r="L15" s="8" t="str">
        <f>"000391"</f>
        <v>000391</v>
      </c>
      <c r="M15" s="7">
        <v>42338</v>
      </c>
      <c r="N15" s="8">
        <v>14</v>
      </c>
      <c r="O15" s="8" t="str">
        <f>"003900"</f>
        <v>003900</v>
      </c>
      <c r="P15" s="7">
        <v>43669</v>
      </c>
      <c r="Q15" s="12">
        <v>5.4324300000000001</v>
      </c>
      <c r="R15" s="12">
        <v>0.86731999999999998</v>
      </c>
      <c r="S15" s="12">
        <v>4.5651099999999998</v>
      </c>
      <c r="T15" s="8">
        <v>124</v>
      </c>
      <c r="U15" s="7">
        <v>43671</v>
      </c>
      <c r="V15" s="8">
        <v>9481614888</v>
      </c>
      <c r="W15" s="11" t="s">
        <v>43</v>
      </c>
      <c r="X15" s="8" t="s">
        <v>81</v>
      </c>
      <c r="Y15" s="11" t="s">
        <v>82</v>
      </c>
      <c r="Z15" s="8" t="s">
        <v>46</v>
      </c>
      <c r="AA15" s="11" t="s">
        <v>47</v>
      </c>
      <c r="AB15" s="12">
        <f t="shared" si="1"/>
        <v>5.4324299999999999E-2</v>
      </c>
    </row>
    <row r="16" spans="1:28" s="4" customFormat="1" ht="13" x14ac:dyDescent="0.3">
      <c r="A16" s="5">
        <v>2509</v>
      </c>
      <c r="B16" s="6" t="s">
        <v>73</v>
      </c>
      <c r="C16" s="7">
        <v>43672</v>
      </c>
      <c r="D16" s="8">
        <v>71</v>
      </c>
      <c r="E16" s="9" t="s">
        <v>48</v>
      </c>
      <c r="F16" s="8" t="s">
        <v>83</v>
      </c>
      <c r="G16" s="11" t="s">
        <v>84</v>
      </c>
      <c r="H16" s="8" t="str">
        <f>"000319"</f>
        <v>000319</v>
      </c>
      <c r="I16" s="7">
        <v>43180</v>
      </c>
      <c r="J16" s="8" t="str">
        <f>"000075"</f>
        <v>000075</v>
      </c>
      <c r="K16" s="7">
        <v>43374</v>
      </c>
      <c r="L16" s="8" t="str">
        <f>"000234"</f>
        <v>000234</v>
      </c>
      <c r="M16" s="7">
        <v>43404</v>
      </c>
      <c r="N16" s="8">
        <v>18</v>
      </c>
      <c r="O16" s="8" t="str">
        <f>"003781"</f>
        <v>003781</v>
      </c>
      <c r="P16" s="7">
        <v>43664</v>
      </c>
      <c r="Q16" s="12">
        <v>49.980510000000002</v>
      </c>
      <c r="R16" s="12">
        <v>5.6193099999999996</v>
      </c>
      <c r="S16" s="12">
        <v>44.361199999999997</v>
      </c>
      <c r="T16" s="8">
        <v>127</v>
      </c>
      <c r="U16" s="7">
        <v>43672</v>
      </c>
      <c r="V16" s="8">
        <v>9449219009</v>
      </c>
      <c r="W16" s="11" t="s">
        <v>43</v>
      </c>
      <c r="X16" s="8" t="s">
        <v>85</v>
      </c>
      <c r="Y16" s="11" t="s">
        <v>86</v>
      </c>
      <c r="Z16" s="8" t="s">
        <v>46</v>
      </c>
      <c r="AA16" s="11" t="s">
        <v>47</v>
      </c>
      <c r="AB16" s="12">
        <f t="shared" si="1"/>
        <v>0.4998051</v>
      </c>
    </row>
    <row r="17" spans="1:28" s="4" customFormat="1" ht="13" x14ac:dyDescent="0.3">
      <c r="A17" s="5">
        <v>2510</v>
      </c>
      <c r="B17" s="6" t="s">
        <v>73</v>
      </c>
      <c r="C17" s="7">
        <v>43677</v>
      </c>
      <c r="D17" s="8">
        <v>71</v>
      </c>
      <c r="E17" s="9" t="s">
        <v>48</v>
      </c>
      <c r="F17" s="8" t="s">
        <v>87</v>
      </c>
      <c r="G17" s="11" t="s">
        <v>88</v>
      </c>
      <c r="H17" s="8" t="str">
        <f>"000079"</f>
        <v>000079</v>
      </c>
      <c r="I17" s="7">
        <v>42870</v>
      </c>
      <c r="J17" s="8" t="str">
        <f>"000001"</f>
        <v>000001</v>
      </c>
      <c r="K17" s="7">
        <v>42551</v>
      </c>
      <c r="L17" s="8" t="str">
        <f>""</f>
        <v/>
      </c>
      <c r="M17" s="8"/>
      <c r="N17" s="8">
        <v>17</v>
      </c>
      <c r="O17" s="8" t="str">
        <f>""</f>
        <v/>
      </c>
      <c r="P17" s="8"/>
      <c r="Q17" s="12">
        <v>18.253599999999999</v>
      </c>
      <c r="R17" s="12">
        <v>0.61150000000000004</v>
      </c>
      <c r="S17" s="12">
        <v>17.642099999999999</v>
      </c>
      <c r="T17" s="8">
        <v>135</v>
      </c>
      <c r="U17" s="7">
        <v>43677</v>
      </c>
      <c r="V17" s="8">
        <v>9449219009</v>
      </c>
      <c r="W17" s="11" t="s">
        <v>89</v>
      </c>
      <c r="X17" s="8" t="s">
        <v>32</v>
      </c>
      <c r="Y17" s="11" t="s">
        <v>33</v>
      </c>
      <c r="Z17" s="8" t="s">
        <v>46</v>
      </c>
      <c r="AA17" s="11" t="s">
        <v>47</v>
      </c>
      <c r="AB17" s="12">
        <f t="shared" si="1"/>
        <v>0.18253599999999998</v>
      </c>
    </row>
    <row r="18" spans="1:28" s="4" customFormat="1" ht="13" x14ac:dyDescent="0.3">
      <c r="A18" s="5">
        <v>2511</v>
      </c>
      <c r="B18" s="6" t="s">
        <v>90</v>
      </c>
      <c r="C18" s="7">
        <v>43680</v>
      </c>
      <c r="D18" s="8">
        <v>71</v>
      </c>
      <c r="E18" s="9" t="s">
        <v>48</v>
      </c>
      <c r="F18" s="8" t="s">
        <v>91</v>
      </c>
      <c r="G18" s="11" t="s">
        <v>92</v>
      </c>
      <c r="H18" s="8" t="str">
        <f>"000260"</f>
        <v>000260</v>
      </c>
      <c r="I18" s="7">
        <v>43441</v>
      </c>
      <c r="J18" s="8" t="str">
        <f>"000084"</f>
        <v>000084</v>
      </c>
      <c r="K18" s="7">
        <v>43458</v>
      </c>
      <c r="L18" s="8" t="str">
        <f>"000277"</f>
        <v>000277</v>
      </c>
      <c r="M18" s="7">
        <v>43465</v>
      </c>
      <c r="N18" s="8">
        <v>18</v>
      </c>
      <c r="O18" s="8" t="str">
        <f>"004199"</f>
        <v>004199</v>
      </c>
      <c r="P18" s="7">
        <v>43679</v>
      </c>
      <c r="Q18" s="12">
        <v>4.9189600000000002</v>
      </c>
      <c r="R18" s="12">
        <v>0.19114</v>
      </c>
      <c r="S18" s="12">
        <v>4.7278200000000004</v>
      </c>
      <c r="T18" s="8">
        <v>141</v>
      </c>
      <c r="U18" s="7">
        <v>43680</v>
      </c>
      <c r="V18" s="8">
        <v>9448543119</v>
      </c>
      <c r="W18" s="11" t="s">
        <v>54</v>
      </c>
      <c r="X18" s="8" t="s">
        <v>35</v>
      </c>
      <c r="Y18" s="11" t="s">
        <v>36</v>
      </c>
      <c r="Z18" s="8" t="s">
        <v>46</v>
      </c>
      <c r="AA18" s="11" t="s">
        <v>47</v>
      </c>
      <c r="AB18" s="12">
        <f t="shared" si="1"/>
        <v>4.91896E-2</v>
      </c>
    </row>
    <row r="19" spans="1:28" s="4" customFormat="1" ht="13" x14ac:dyDescent="0.3">
      <c r="A19" s="5">
        <v>2512</v>
      </c>
      <c r="B19" s="6" t="s">
        <v>90</v>
      </c>
      <c r="C19" s="7">
        <v>43682</v>
      </c>
      <c r="D19" s="8">
        <v>71</v>
      </c>
      <c r="E19" s="9" t="s">
        <v>48</v>
      </c>
      <c r="F19" s="8" t="s">
        <v>93</v>
      </c>
      <c r="G19" s="11" t="s">
        <v>94</v>
      </c>
      <c r="H19" s="8" t="str">
        <f>"000031"</f>
        <v>000031</v>
      </c>
      <c r="I19" s="7">
        <v>43371</v>
      </c>
      <c r="J19" s="8" t="str">
        <f>"000012"</f>
        <v>000012</v>
      </c>
      <c r="K19" s="7">
        <v>43634</v>
      </c>
      <c r="L19" s="8" t="str">
        <f>"000012"</f>
        <v>000012</v>
      </c>
      <c r="M19" s="7">
        <v>43634</v>
      </c>
      <c r="N19" s="8">
        <v>19</v>
      </c>
      <c r="O19" s="8" t="str">
        <f>"004215"</f>
        <v>004215</v>
      </c>
      <c r="P19" s="7">
        <v>43679</v>
      </c>
      <c r="Q19" s="12">
        <v>2.0698799999999999</v>
      </c>
      <c r="R19" s="12">
        <v>0.20463999999999999</v>
      </c>
      <c r="S19" s="12">
        <v>1.86524</v>
      </c>
      <c r="T19" s="8">
        <v>143</v>
      </c>
      <c r="U19" s="7">
        <v>43682</v>
      </c>
      <c r="V19" s="8">
        <v>9986313631</v>
      </c>
      <c r="W19" s="11" t="s">
        <v>95</v>
      </c>
      <c r="X19" s="8" t="s">
        <v>96</v>
      </c>
      <c r="Y19" s="11" t="s">
        <v>97</v>
      </c>
      <c r="Z19" s="8" t="s">
        <v>37</v>
      </c>
      <c r="AA19" s="11" t="s">
        <v>38</v>
      </c>
      <c r="AB19" s="12">
        <f t="shared" si="1"/>
        <v>2.06988E-2</v>
      </c>
    </row>
    <row r="20" spans="1:28" s="4" customFormat="1" ht="13" x14ac:dyDescent="0.3">
      <c r="A20" s="5">
        <v>2513</v>
      </c>
      <c r="B20" s="6" t="s">
        <v>90</v>
      </c>
      <c r="C20" s="7">
        <v>43684</v>
      </c>
      <c r="D20" s="8">
        <v>71</v>
      </c>
      <c r="E20" s="9" t="s">
        <v>48</v>
      </c>
      <c r="F20" s="8" t="s">
        <v>98</v>
      </c>
      <c r="G20" s="11" t="s">
        <v>99</v>
      </c>
      <c r="H20" s="8" t="str">
        <f>"000134"</f>
        <v>000134</v>
      </c>
      <c r="I20" s="7">
        <v>43087</v>
      </c>
      <c r="J20" s="8" t="str">
        <f>"000029"</f>
        <v>000029</v>
      </c>
      <c r="K20" s="7">
        <v>43159</v>
      </c>
      <c r="L20" s="8" t="str">
        <f>"000109"</f>
        <v>000109</v>
      </c>
      <c r="M20" s="7">
        <v>43160</v>
      </c>
      <c r="N20" s="8">
        <v>18</v>
      </c>
      <c r="O20" s="8" t="str">
        <f>"004231"</f>
        <v>004231</v>
      </c>
      <c r="P20" s="7">
        <v>43679</v>
      </c>
      <c r="Q20" s="12">
        <v>47.873309999999996</v>
      </c>
      <c r="R20" s="12">
        <v>1.6785000000000001</v>
      </c>
      <c r="S20" s="12">
        <v>46.194809999999997</v>
      </c>
      <c r="T20" s="8">
        <v>144</v>
      </c>
      <c r="U20" s="7">
        <v>43684</v>
      </c>
      <c r="V20" s="8">
        <v>9845736688</v>
      </c>
      <c r="W20" s="11" t="s">
        <v>100</v>
      </c>
      <c r="X20" s="8" t="s">
        <v>101</v>
      </c>
      <c r="Y20" s="11" t="s">
        <v>102</v>
      </c>
      <c r="Z20" s="8" t="s">
        <v>46</v>
      </c>
      <c r="AA20" s="11" t="s">
        <v>47</v>
      </c>
      <c r="AB20" s="12">
        <f t="shared" si="1"/>
        <v>0.47873309999999997</v>
      </c>
    </row>
    <row r="21" spans="1:28" s="4" customFormat="1" ht="13" x14ac:dyDescent="0.3">
      <c r="A21" s="5">
        <v>2514</v>
      </c>
      <c r="B21" s="6" t="s">
        <v>90</v>
      </c>
      <c r="C21" s="7">
        <v>43690</v>
      </c>
      <c r="D21" s="8">
        <v>71</v>
      </c>
      <c r="E21" s="9" t="s">
        <v>48</v>
      </c>
      <c r="F21" s="8" t="s">
        <v>103</v>
      </c>
      <c r="G21" s="11" t="s">
        <v>104</v>
      </c>
      <c r="H21" s="8" t="str">
        <f>"000257"</f>
        <v>000257</v>
      </c>
      <c r="I21" s="7">
        <v>43441</v>
      </c>
      <c r="J21" s="8" t="str">
        <f>"000083"</f>
        <v>000083</v>
      </c>
      <c r="K21" s="7">
        <v>43453</v>
      </c>
      <c r="L21" s="8" t="str">
        <f>"000264"</f>
        <v>000264</v>
      </c>
      <c r="M21" s="7">
        <v>43456</v>
      </c>
      <c r="N21" s="8">
        <v>18</v>
      </c>
      <c r="O21" s="8" t="str">
        <f>"004414"</f>
        <v>004414</v>
      </c>
      <c r="P21" s="7">
        <v>43690</v>
      </c>
      <c r="Q21" s="12">
        <v>4.7713299999999998</v>
      </c>
      <c r="R21" s="12">
        <v>0.2331</v>
      </c>
      <c r="S21" s="12">
        <v>4.5382300000000004</v>
      </c>
      <c r="T21" s="8">
        <v>151</v>
      </c>
      <c r="U21" s="7">
        <v>43690</v>
      </c>
      <c r="V21" s="8">
        <v>9448543119</v>
      </c>
      <c r="W21" s="11" t="s">
        <v>105</v>
      </c>
      <c r="X21" s="8" t="s">
        <v>35</v>
      </c>
      <c r="Y21" s="11" t="s">
        <v>36</v>
      </c>
      <c r="Z21" s="8" t="s">
        <v>46</v>
      </c>
      <c r="AA21" s="11" t="s">
        <v>47</v>
      </c>
      <c r="AB21" s="12">
        <f t="shared" si="1"/>
        <v>4.77133E-2</v>
      </c>
    </row>
    <row r="22" spans="1:28" s="4" customFormat="1" ht="13" x14ac:dyDescent="0.3">
      <c r="A22" s="5">
        <v>2515</v>
      </c>
      <c r="B22" s="6" t="s">
        <v>90</v>
      </c>
      <c r="C22" s="7">
        <v>43696</v>
      </c>
      <c r="D22" s="8">
        <v>71</v>
      </c>
      <c r="E22" s="9" t="s">
        <v>48</v>
      </c>
      <c r="F22" s="8" t="s">
        <v>106</v>
      </c>
      <c r="G22" s="11" t="s">
        <v>107</v>
      </c>
      <c r="H22" s="8" t="str">
        <f>"000218"</f>
        <v>000218</v>
      </c>
      <c r="I22" s="7">
        <v>43137</v>
      </c>
      <c r="J22" s="8" t="str">
        <f>"000031"</f>
        <v>000031</v>
      </c>
      <c r="K22" s="7">
        <v>43159</v>
      </c>
      <c r="L22" s="8" t="str">
        <f>"000106"</f>
        <v>000106</v>
      </c>
      <c r="M22" s="7">
        <v>43160</v>
      </c>
      <c r="N22" s="8">
        <v>18</v>
      </c>
      <c r="O22" s="8" t="str">
        <f>"004416"</f>
        <v>004416</v>
      </c>
      <c r="P22" s="7">
        <v>43690</v>
      </c>
      <c r="Q22" s="12">
        <v>47.861400000000003</v>
      </c>
      <c r="R22" s="12">
        <v>1.6942200000000001</v>
      </c>
      <c r="S22" s="12">
        <v>46.167180000000002</v>
      </c>
      <c r="T22" s="8">
        <v>158</v>
      </c>
      <c r="U22" s="7">
        <v>43696</v>
      </c>
      <c r="V22" s="8">
        <v>9743188999</v>
      </c>
      <c r="W22" s="11" t="s">
        <v>108</v>
      </c>
      <c r="X22" s="8" t="s">
        <v>101</v>
      </c>
      <c r="Y22" s="11" t="s">
        <v>102</v>
      </c>
      <c r="Z22" s="8" t="s">
        <v>46</v>
      </c>
      <c r="AA22" s="11" t="s">
        <v>47</v>
      </c>
      <c r="AB22" s="12">
        <f t="shared" si="1"/>
        <v>0.47861400000000004</v>
      </c>
    </row>
    <row r="23" spans="1:28" s="4" customFormat="1" ht="13" x14ac:dyDescent="0.3">
      <c r="A23" s="5">
        <v>2516</v>
      </c>
      <c r="B23" s="6" t="s">
        <v>90</v>
      </c>
      <c r="C23" s="7">
        <v>43707</v>
      </c>
      <c r="D23" s="8">
        <v>71</v>
      </c>
      <c r="E23" s="9" t="s">
        <v>48</v>
      </c>
      <c r="F23" s="8" t="s">
        <v>109</v>
      </c>
      <c r="G23" s="11" t="s">
        <v>110</v>
      </c>
      <c r="H23" s="8" t="str">
        <f>"000214"</f>
        <v>000214</v>
      </c>
      <c r="I23" s="7">
        <v>43137</v>
      </c>
      <c r="J23" s="8" t="str">
        <f>"000032"</f>
        <v>000032</v>
      </c>
      <c r="K23" s="7">
        <v>43159</v>
      </c>
      <c r="L23" s="8" t="str">
        <f>"000107"</f>
        <v>000107</v>
      </c>
      <c r="M23" s="7">
        <v>43160</v>
      </c>
      <c r="N23" s="8">
        <v>18</v>
      </c>
      <c r="O23" s="8" t="str">
        <f>"004619"</f>
        <v>004619</v>
      </c>
      <c r="P23" s="7">
        <v>43696</v>
      </c>
      <c r="Q23" s="12">
        <v>48.62547</v>
      </c>
      <c r="R23" s="12">
        <v>1.7153099999999999</v>
      </c>
      <c r="S23" s="12">
        <v>46.910159999999998</v>
      </c>
      <c r="T23" s="8">
        <v>173</v>
      </c>
      <c r="U23" s="7">
        <v>43707</v>
      </c>
      <c r="V23" s="8">
        <v>9743188999</v>
      </c>
      <c r="W23" s="11" t="s">
        <v>111</v>
      </c>
      <c r="X23" s="8" t="s">
        <v>101</v>
      </c>
      <c r="Y23" s="11" t="s">
        <v>102</v>
      </c>
      <c r="Z23" s="8" t="s">
        <v>46</v>
      </c>
      <c r="AA23" s="11" t="s">
        <v>47</v>
      </c>
      <c r="AB23" s="12">
        <f t="shared" si="1"/>
        <v>0.48625469999999998</v>
      </c>
    </row>
    <row r="24" spans="1:28" s="4" customFormat="1" ht="13" x14ac:dyDescent="0.3">
      <c r="A24" s="5">
        <v>2517</v>
      </c>
      <c r="B24" s="6" t="s">
        <v>90</v>
      </c>
      <c r="C24" s="7">
        <v>43707</v>
      </c>
      <c r="D24" s="8">
        <v>71</v>
      </c>
      <c r="E24" s="9" t="s">
        <v>48</v>
      </c>
      <c r="F24" s="8" t="s">
        <v>112</v>
      </c>
      <c r="G24" s="11" t="s">
        <v>113</v>
      </c>
      <c r="H24" s="8" t="str">
        <f>"000166"</f>
        <v>000166</v>
      </c>
      <c r="I24" s="7">
        <v>43097</v>
      </c>
      <c r="J24" s="8" t="str">
        <f>"000038"</f>
        <v>000038</v>
      </c>
      <c r="K24" s="7">
        <v>43189</v>
      </c>
      <c r="L24" s="8" t="str">
        <f>"000149"</f>
        <v>000149</v>
      </c>
      <c r="M24" s="7">
        <v>43189</v>
      </c>
      <c r="N24" s="8">
        <v>18</v>
      </c>
      <c r="O24" s="8" t="str">
        <f>"004637"</f>
        <v>004637</v>
      </c>
      <c r="P24" s="7">
        <v>43696</v>
      </c>
      <c r="Q24" s="12">
        <v>49.62791</v>
      </c>
      <c r="R24" s="12">
        <v>1.7609699999999999</v>
      </c>
      <c r="S24" s="12">
        <v>47.86694</v>
      </c>
      <c r="T24" s="8">
        <v>173</v>
      </c>
      <c r="U24" s="7">
        <v>43707</v>
      </c>
      <c r="V24" s="8">
        <v>9743188999</v>
      </c>
      <c r="W24" s="11" t="s">
        <v>100</v>
      </c>
      <c r="X24" s="8" t="s">
        <v>114</v>
      </c>
      <c r="Y24" s="11" t="s">
        <v>115</v>
      </c>
      <c r="Z24" s="8" t="s">
        <v>46</v>
      </c>
      <c r="AA24" s="11" t="s">
        <v>47</v>
      </c>
      <c r="AB24" s="12">
        <f t="shared" si="1"/>
        <v>0.49627909999999997</v>
      </c>
    </row>
    <row r="25" spans="1:28" s="4" customFormat="1" ht="13" x14ac:dyDescent="0.3">
      <c r="A25" s="5">
        <v>2518</v>
      </c>
      <c r="B25" s="6" t="s">
        <v>90</v>
      </c>
      <c r="C25" s="7">
        <v>43707</v>
      </c>
      <c r="D25" s="8">
        <v>71</v>
      </c>
      <c r="E25" s="9" t="s">
        <v>48</v>
      </c>
      <c r="F25" s="8" t="s">
        <v>116</v>
      </c>
      <c r="G25" s="11" t="s">
        <v>117</v>
      </c>
      <c r="H25" s="8" t="str">
        <f>"000137"</f>
        <v>000137</v>
      </c>
      <c r="I25" s="7">
        <v>43087</v>
      </c>
      <c r="J25" s="8" t="str">
        <f>"000039"</f>
        <v>000039</v>
      </c>
      <c r="K25" s="7">
        <v>43189</v>
      </c>
      <c r="L25" s="8" t="str">
        <f>"000150"</f>
        <v>000150</v>
      </c>
      <c r="M25" s="7">
        <v>43189</v>
      </c>
      <c r="N25" s="8">
        <v>18</v>
      </c>
      <c r="O25" s="8" t="str">
        <f>"004638"</f>
        <v>004638</v>
      </c>
      <c r="P25" s="7">
        <v>43696</v>
      </c>
      <c r="Q25" s="12">
        <v>49.630710000000001</v>
      </c>
      <c r="R25" s="12">
        <v>1.76142</v>
      </c>
      <c r="S25" s="12">
        <v>47.869289999999999</v>
      </c>
      <c r="T25" s="8">
        <v>173</v>
      </c>
      <c r="U25" s="7">
        <v>43707</v>
      </c>
      <c r="V25" s="8">
        <v>9845736688</v>
      </c>
      <c r="W25" s="11" t="s">
        <v>100</v>
      </c>
      <c r="X25" s="8" t="s">
        <v>114</v>
      </c>
      <c r="Y25" s="11" t="s">
        <v>115</v>
      </c>
      <c r="Z25" s="8" t="s">
        <v>46</v>
      </c>
      <c r="AA25" s="11" t="s">
        <v>47</v>
      </c>
      <c r="AB25" s="12">
        <f t="shared" si="1"/>
        <v>0.4963071</v>
      </c>
    </row>
    <row r="26" spans="1:28" s="4" customFormat="1" ht="13" x14ac:dyDescent="0.3">
      <c r="A26" s="5">
        <v>2519</v>
      </c>
      <c r="B26" s="6" t="s">
        <v>90</v>
      </c>
      <c r="C26" s="7">
        <v>43707</v>
      </c>
      <c r="D26" s="8">
        <v>71</v>
      </c>
      <c r="E26" s="9" t="s">
        <v>48</v>
      </c>
      <c r="F26" s="8" t="s">
        <v>118</v>
      </c>
      <c r="G26" s="11" t="s">
        <v>119</v>
      </c>
      <c r="H26" s="8" t="str">
        <f>"000164"</f>
        <v>000164</v>
      </c>
      <c r="I26" s="7">
        <v>43556</v>
      </c>
      <c r="J26" s="8" t="str">
        <f>"000030"</f>
        <v>000030</v>
      </c>
      <c r="K26" s="7">
        <v>43159</v>
      </c>
      <c r="L26" s="8" t="str">
        <f>"000108"</f>
        <v>000108</v>
      </c>
      <c r="M26" s="7">
        <v>43160</v>
      </c>
      <c r="N26" s="8">
        <v>18</v>
      </c>
      <c r="O26" s="8" t="str">
        <f>"004639"</f>
        <v>004639</v>
      </c>
      <c r="P26" s="7">
        <v>43696</v>
      </c>
      <c r="Q26" s="12">
        <v>47.599510000000002</v>
      </c>
      <c r="R26" s="12">
        <v>1.68872</v>
      </c>
      <c r="S26" s="12">
        <v>45.910789999999999</v>
      </c>
      <c r="T26" s="8">
        <v>173</v>
      </c>
      <c r="U26" s="7">
        <v>43707</v>
      </c>
      <c r="V26" s="8">
        <v>9743188999</v>
      </c>
      <c r="W26" s="11" t="s">
        <v>120</v>
      </c>
      <c r="X26" s="8" t="s">
        <v>101</v>
      </c>
      <c r="Y26" s="11" t="s">
        <v>102</v>
      </c>
      <c r="Z26" s="8" t="s">
        <v>46</v>
      </c>
      <c r="AA26" s="11" t="s">
        <v>47</v>
      </c>
      <c r="AB26" s="12">
        <f t="shared" si="1"/>
        <v>0.4759951</v>
      </c>
    </row>
    <row r="27" spans="1:28" s="4" customFormat="1" ht="13" x14ac:dyDescent="0.3">
      <c r="A27" s="5">
        <v>2520</v>
      </c>
      <c r="B27" s="6" t="s">
        <v>121</v>
      </c>
      <c r="C27" s="7">
        <v>43717</v>
      </c>
      <c r="D27" s="8">
        <v>71</v>
      </c>
      <c r="E27" s="9" t="s">
        <v>48</v>
      </c>
      <c r="F27" s="8" t="s">
        <v>122</v>
      </c>
      <c r="G27" s="11" t="s">
        <v>123</v>
      </c>
      <c r="H27" s="8" t="str">
        <f>"000012"</f>
        <v>000012</v>
      </c>
      <c r="I27" s="7">
        <v>42954</v>
      </c>
      <c r="J27" s="8" t="str">
        <f>"000015"</f>
        <v>000015</v>
      </c>
      <c r="K27" s="7">
        <v>43238</v>
      </c>
      <c r="L27" s="8" t="str">
        <f>"000059"</f>
        <v>000059</v>
      </c>
      <c r="M27" s="7">
        <v>43251</v>
      </c>
      <c r="N27" s="8">
        <v>17</v>
      </c>
      <c r="O27" s="8" t="str">
        <f>"004787"</f>
        <v>004787</v>
      </c>
      <c r="P27" s="7">
        <v>43704</v>
      </c>
      <c r="Q27" s="12">
        <v>12.983090000000001</v>
      </c>
      <c r="R27" s="12">
        <v>1.0679700000000001</v>
      </c>
      <c r="S27" s="12">
        <v>11.91512</v>
      </c>
      <c r="T27" s="8">
        <v>178</v>
      </c>
      <c r="U27" s="7">
        <v>43717</v>
      </c>
      <c r="V27" s="8">
        <v>9916825706</v>
      </c>
      <c r="W27" s="11" t="s">
        <v>43</v>
      </c>
      <c r="X27" s="8" t="s">
        <v>77</v>
      </c>
      <c r="Y27" s="11" t="s">
        <v>78</v>
      </c>
      <c r="Z27" s="8" t="s">
        <v>46</v>
      </c>
      <c r="AA27" s="11" t="s">
        <v>47</v>
      </c>
      <c r="AB27" s="12">
        <f t="shared" si="1"/>
        <v>0.1298309</v>
      </c>
    </row>
    <row r="28" spans="1:28" s="4" customFormat="1" ht="13" x14ac:dyDescent="0.3">
      <c r="A28" s="5">
        <v>2521</v>
      </c>
      <c r="B28" s="6" t="s">
        <v>121</v>
      </c>
      <c r="C28" s="7">
        <v>43721</v>
      </c>
      <c r="D28" s="8">
        <v>71</v>
      </c>
      <c r="E28" s="9" t="s">
        <v>48</v>
      </c>
      <c r="F28" s="8" t="s">
        <v>55</v>
      </c>
      <c r="G28" s="11" t="s">
        <v>56</v>
      </c>
      <c r="H28" s="8" t="str">
        <f>"00009A"</f>
        <v>00009A</v>
      </c>
      <c r="I28" s="7">
        <v>42697</v>
      </c>
      <c r="J28" s="8" t="str">
        <f>"000017"</f>
        <v>000017</v>
      </c>
      <c r="K28" s="7">
        <v>42916</v>
      </c>
      <c r="L28" s="8" t="str">
        <f>"000017"</f>
        <v>000017</v>
      </c>
      <c r="M28" s="7">
        <v>42916</v>
      </c>
      <c r="N28" s="8">
        <v>16</v>
      </c>
      <c r="O28" s="8" t="str">
        <f>"003598"</f>
        <v>003598</v>
      </c>
      <c r="P28" s="7">
        <v>43292</v>
      </c>
      <c r="Q28" s="12">
        <v>4.2046000000000001</v>
      </c>
      <c r="R28" s="12">
        <v>0.58401999999999998</v>
      </c>
      <c r="S28" s="12">
        <v>3.6205799999999999</v>
      </c>
      <c r="T28" s="8">
        <v>186</v>
      </c>
      <c r="U28" s="7">
        <v>43721</v>
      </c>
      <c r="V28" s="8">
        <v>9986319631</v>
      </c>
      <c r="W28" s="11" t="s">
        <v>57</v>
      </c>
      <c r="X28" s="8" t="s">
        <v>29</v>
      </c>
      <c r="Y28" s="11" t="s">
        <v>30</v>
      </c>
      <c r="Z28" s="8" t="s">
        <v>37</v>
      </c>
      <c r="AA28" s="11" t="s">
        <v>38</v>
      </c>
      <c r="AB28" s="12">
        <f t="shared" si="1"/>
        <v>4.2046E-2</v>
      </c>
    </row>
    <row r="29" spans="1:28" s="4" customFormat="1" ht="13" x14ac:dyDescent="0.3">
      <c r="A29" s="5">
        <v>2522</v>
      </c>
      <c r="B29" s="6" t="s">
        <v>121</v>
      </c>
      <c r="C29" s="7">
        <v>43733</v>
      </c>
      <c r="D29" s="8">
        <v>71</v>
      </c>
      <c r="E29" s="9" t="s">
        <v>48</v>
      </c>
      <c r="F29" s="8" t="s">
        <v>124</v>
      </c>
      <c r="G29" s="11" t="s">
        <v>125</v>
      </c>
      <c r="H29" s="8" t="str">
        <f>"000320"</f>
        <v>000320</v>
      </c>
      <c r="I29" s="7">
        <v>43180</v>
      </c>
      <c r="J29" s="8" t="str">
        <f>"000067"</f>
        <v>000067</v>
      </c>
      <c r="K29" s="7">
        <v>43340</v>
      </c>
      <c r="L29" s="8" t="str">
        <f>"000312"</f>
        <v>000312</v>
      </c>
      <c r="M29" s="7">
        <v>43496</v>
      </c>
      <c r="N29" s="8">
        <v>18</v>
      </c>
      <c r="O29" s="8" t="str">
        <f>"004748"</f>
        <v>004748</v>
      </c>
      <c r="P29" s="7">
        <v>43700</v>
      </c>
      <c r="Q29" s="12">
        <v>49.94567</v>
      </c>
      <c r="R29" s="12">
        <v>5.5756600000000001</v>
      </c>
      <c r="S29" s="12">
        <v>44.370010000000001</v>
      </c>
      <c r="T29" s="8">
        <v>201</v>
      </c>
      <c r="U29" s="7">
        <v>43733</v>
      </c>
      <c r="V29" s="8">
        <v>9449219009</v>
      </c>
      <c r="W29" s="11" t="s">
        <v>43</v>
      </c>
      <c r="X29" s="8" t="s">
        <v>85</v>
      </c>
      <c r="Y29" s="11" t="s">
        <v>86</v>
      </c>
      <c r="Z29" s="8" t="s">
        <v>46</v>
      </c>
      <c r="AA29" s="11" t="s">
        <v>47</v>
      </c>
      <c r="AB29" s="12">
        <f t="shared" si="1"/>
        <v>0.49945669999999998</v>
      </c>
    </row>
    <row r="30" spans="1:28" s="4" customFormat="1" ht="13" x14ac:dyDescent="0.3">
      <c r="A30" s="5">
        <v>2523</v>
      </c>
      <c r="B30" s="6" t="s">
        <v>121</v>
      </c>
      <c r="C30" s="7">
        <v>43733</v>
      </c>
      <c r="D30" s="8">
        <v>71</v>
      </c>
      <c r="E30" s="9" t="s">
        <v>48</v>
      </c>
      <c r="F30" s="8" t="s">
        <v>126</v>
      </c>
      <c r="G30" s="11" t="s">
        <v>127</v>
      </c>
      <c r="H30" s="8" t="str">
        <f>"000321"</f>
        <v>000321</v>
      </c>
      <c r="I30" s="7">
        <v>43180</v>
      </c>
      <c r="J30" s="8" t="str">
        <f>"000066"</f>
        <v>000066</v>
      </c>
      <c r="K30" s="7">
        <v>43340</v>
      </c>
      <c r="L30" s="8" t="str">
        <f>"000311"</f>
        <v>000311</v>
      </c>
      <c r="M30" s="7">
        <v>43496</v>
      </c>
      <c r="N30" s="8">
        <v>18</v>
      </c>
      <c r="O30" s="8" t="str">
        <f>"004749"</f>
        <v>004749</v>
      </c>
      <c r="P30" s="7">
        <v>43700</v>
      </c>
      <c r="Q30" s="12">
        <v>49.940420000000003</v>
      </c>
      <c r="R30" s="12">
        <v>5.56609</v>
      </c>
      <c r="S30" s="12">
        <v>44.37433</v>
      </c>
      <c r="T30" s="8">
        <v>201</v>
      </c>
      <c r="U30" s="7">
        <v>43733</v>
      </c>
      <c r="V30" s="8">
        <v>9449219009</v>
      </c>
      <c r="W30" s="11" t="s">
        <v>43</v>
      </c>
      <c r="X30" s="8" t="s">
        <v>85</v>
      </c>
      <c r="Y30" s="11" t="s">
        <v>86</v>
      </c>
      <c r="Z30" s="8" t="s">
        <v>46</v>
      </c>
      <c r="AA30" s="11" t="s">
        <v>47</v>
      </c>
      <c r="AB30" s="12">
        <f t="shared" si="1"/>
        <v>0.49940420000000002</v>
      </c>
    </row>
    <row r="31" spans="1:28" s="4" customFormat="1" ht="13" x14ac:dyDescent="0.3">
      <c r="A31" s="5">
        <v>2524</v>
      </c>
      <c r="B31" s="6" t="s">
        <v>121</v>
      </c>
      <c r="C31" s="7">
        <v>43733</v>
      </c>
      <c r="D31" s="8">
        <v>71</v>
      </c>
      <c r="E31" s="9" t="s">
        <v>48</v>
      </c>
      <c r="F31" s="8" t="s">
        <v>128</v>
      </c>
      <c r="G31" s="11" t="s">
        <v>129</v>
      </c>
      <c r="H31" s="8" t="str">
        <f>"000093"</f>
        <v>000093</v>
      </c>
      <c r="I31" s="7">
        <v>43059</v>
      </c>
      <c r="J31" s="8" t="str">
        <f>"000065"</f>
        <v>000065</v>
      </c>
      <c r="K31" s="7">
        <v>43340</v>
      </c>
      <c r="L31" s="8" t="str">
        <f>"000310"</f>
        <v>000310</v>
      </c>
      <c r="M31" s="7">
        <v>43496</v>
      </c>
      <c r="N31" s="8">
        <v>18</v>
      </c>
      <c r="O31" s="8" t="str">
        <f>"004750"</f>
        <v>004750</v>
      </c>
      <c r="P31" s="7">
        <v>43700</v>
      </c>
      <c r="Q31" s="12">
        <v>49.970959999999998</v>
      </c>
      <c r="R31" s="12">
        <v>5.5466699999999998</v>
      </c>
      <c r="S31" s="12">
        <v>44.424289999999999</v>
      </c>
      <c r="T31" s="8">
        <v>201</v>
      </c>
      <c r="U31" s="7">
        <v>43733</v>
      </c>
      <c r="V31" s="8">
        <v>9449219009</v>
      </c>
      <c r="W31" s="11" t="s">
        <v>43</v>
      </c>
      <c r="X31" s="8" t="s">
        <v>85</v>
      </c>
      <c r="Y31" s="11" t="s">
        <v>86</v>
      </c>
      <c r="Z31" s="8" t="s">
        <v>46</v>
      </c>
      <c r="AA31" s="11" t="s">
        <v>47</v>
      </c>
      <c r="AB31" s="12">
        <f t="shared" si="1"/>
        <v>0.49970959999999998</v>
      </c>
    </row>
    <row r="32" spans="1:28" s="4" customFormat="1" ht="13" x14ac:dyDescent="0.3">
      <c r="A32" s="5">
        <v>2525</v>
      </c>
      <c r="B32" s="6" t="s">
        <v>121</v>
      </c>
      <c r="C32" s="7">
        <v>43734</v>
      </c>
      <c r="D32" s="8">
        <v>71</v>
      </c>
      <c r="E32" s="9" t="s">
        <v>48</v>
      </c>
      <c r="F32" s="8" t="s">
        <v>58</v>
      </c>
      <c r="G32" s="11" t="s">
        <v>59</v>
      </c>
      <c r="H32" s="8" t="str">
        <f>"000295"</f>
        <v>000295</v>
      </c>
      <c r="I32" s="7">
        <v>43178</v>
      </c>
      <c r="J32" s="8" t="str">
        <f>"000051"</f>
        <v>000051</v>
      </c>
      <c r="K32" s="7">
        <v>43705</v>
      </c>
      <c r="L32" s="8" t="str">
        <f>"000161"</f>
        <v>000161</v>
      </c>
      <c r="M32" s="7">
        <v>43732</v>
      </c>
      <c r="N32" s="8">
        <v>17</v>
      </c>
      <c r="O32" s="8" t="str">
        <f>"006037"</f>
        <v>006037</v>
      </c>
      <c r="P32" s="7">
        <v>43769</v>
      </c>
      <c r="Q32" s="12">
        <v>41.437719999999999</v>
      </c>
      <c r="R32" s="12">
        <v>2.7136999999999998</v>
      </c>
      <c r="S32" s="12">
        <v>38.724020000000003</v>
      </c>
      <c r="T32" s="8">
        <v>202</v>
      </c>
      <c r="U32" s="7">
        <v>43734</v>
      </c>
      <c r="V32" s="8">
        <v>9743188999</v>
      </c>
      <c r="W32" s="11" t="s">
        <v>60</v>
      </c>
      <c r="X32" s="8" t="s">
        <v>39</v>
      </c>
      <c r="Y32" s="11" t="s">
        <v>40</v>
      </c>
      <c r="Z32" s="8" t="s">
        <v>46</v>
      </c>
      <c r="AA32" s="11" t="s">
        <v>47</v>
      </c>
      <c r="AB32" s="12">
        <f t="shared" si="1"/>
        <v>0.4143772</v>
      </c>
    </row>
    <row r="33" spans="1:28" s="4" customFormat="1" ht="13" x14ac:dyDescent="0.3">
      <c r="A33" s="5">
        <v>2526</v>
      </c>
      <c r="B33" s="6" t="s">
        <v>121</v>
      </c>
      <c r="C33" s="7">
        <v>43734</v>
      </c>
      <c r="D33" s="8">
        <v>71</v>
      </c>
      <c r="E33" s="9" t="s">
        <v>48</v>
      </c>
      <c r="F33" s="8" t="s">
        <v>130</v>
      </c>
      <c r="G33" s="11" t="s">
        <v>131</v>
      </c>
      <c r="H33" s="8" t="str">
        <f>"000023"</f>
        <v>000023</v>
      </c>
      <c r="I33" s="7">
        <v>43321</v>
      </c>
      <c r="J33" s="8" t="str">
        <f>"000035"</f>
        <v>000035</v>
      </c>
      <c r="K33" s="7">
        <v>43691</v>
      </c>
      <c r="L33" s="8" t="str">
        <f>"000139"</f>
        <v>000139</v>
      </c>
      <c r="M33" s="7">
        <v>43704</v>
      </c>
      <c r="N33" s="8">
        <v>18</v>
      </c>
      <c r="O33" s="8" t="str">
        <f>"005131"</f>
        <v>005131</v>
      </c>
      <c r="P33" s="7">
        <v>43724</v>
      </c>
      <c r="Q33" s="12">
        <v>49.881680000000003</v>
      </c>
      <c r="R33" s="12">
        <v>5.5762799999999997</v>
      </c>
      <c r="S33" s="12">
        <v>44.305399999999999</v>
      </c>
      <c r="T33" s="8">
        <v>202</v>
      </c>
      <c r="U33" s="7">
        <v>43734</v>
      </c>
      <c r="V33" s="8">
        <v>9449219009</v>
      </c>
      <c r="W33" s="11" t="s">
        <v>43</v>
      </c>
      <c r="X33" s="8" t="s">
        <v>39</v>
      </c>
      <c r="Y33" s="11" t="s">
        <v>40</v>
      </c>
      <c r="Z33" s="8" t="s">
        <v>46</v>
      </c>
      <c r="AA33" s="11" t="s">
        <v>47</v>
      </c>
      <c r="AB33" s="12">
        <f t="shared" si="1"/>
        <v>0.4988168</v>
      </c>
    </row>
    <row r="34" spans="1:28" s="4" customFormat="1" ht="13" x14ac:dyDescent="0.3">
      <c r="A34" s="5">
        <v>2527</v>
      </c>
      <c r="B34" s="6" t="s">
        <v>121</v>
      </c>
      <c r="C34" s="7">
        <v>43734</v>
      </c>
      <c r="D34" s="8">
        <v>71</v>
      </c>
      <c r="E34" s="9" t="s">
        <v>48</v>
      </c>
      <c r="F34" s="8" t="s">
        <v>132</v>
      </c>
      <c r="G34" s="11" t="s">
        <v>133</v>
      </c>
      <c r="H34" s="8" t="str">
        <f>"000024"</f>
        <v>000024</v>
      </c>
      <c r="I34" s="7">
        <v>43321</v>
      </c>
      <c r="J34" s="8" t="str">
        <f>"000034"</f>
        <v>000034</v>
      </c>
      <c r="K34" s="7">
        <v>43691</v>
      </c>
      <c r="L34" s="8" t="str">
        <f>"000138"</f>
        <v>000138</v>
      </c>
      <c r="M34" s="7">
        <v>43704</v>
      </c>
      <c r="N34" s="8">
        <v>18</v>
      </c>
      <c r="O34" s="8" t="str">
        <f>"005132"</f>
        <v>005132</v>
      </c>
      <c r="P34" s="7">
        <v>43724</v>
      </c>
      <c r="Q34" s="12">
        <v>49.928939999999997</v>
      </c>
      <c r="R34" s="12">
        <v>5.5815400000000004</v>
      </c>
      <c r="S34" s="12">
        <v>44.3474</v>
      </c>
      <c r="T34" s="8">
        <v>202</v>
      </c>
      <c r="U34" s="7">
        <v>43734</v>
      </c>
      <c r="V34" s="8">
        <v>9449219009</v>
      </c>
      <c r="W34" s="11" t="s">
        <v>43</v>
      </c>
      <c r="X34" s="8" t="s">
        <v>39</v>
      </c>
      <c r="Y34" s="11" t="s">
        <v>40</v>
      </c>
      <c r="Z34" s="8" t="s">
        <v>46</v>
      </c>
      <c r="AA34" s="11" t="s">
        <v>47</v>
      </c>
      <c r="AB34" s="12">
        <f t="shared" si="1"/>
        <v>0.49928939999999999</v>
      </c>
    </row>
    <row r="35" spans="1:28" s="4" customFormat="1" ht="13" x14ac:dyDescent="0.3">
      <c r="A35" s="5">
        <v>2528</v>
      </c>
      <c r="B35" s="6" t="s">
        <v>134</v>
      </c>
      <c r="C35" s="7">
        <v>43749</v>
      </c>
      <c r="D35" s="5">
        <v>71</v>
      </c>
      <c r="E35" s="9" t="s">
        <v>48</v>
      </c>
      <c r="F35" s="8" t="s">
        <v>135</v>
      </c>
      <c r="G35" s="9" t="s">
        <v>136</v>
      </c>
      <c r="H35" s="8" t="str">
        <f>"000399"</f>
        <v>000399</v>
      </c>
      <c r="I35" s="7">
        <v>43532</v>
      </c>
      <c r="J35" s="8" t="str">
        <f>"000032"</f>
        <v>000032</v>
      </c>
      <c r="K35" s="7">
        <v>43690</v>
      </c>
      <c r="L35" s="8" t="str">
        <f>"000111"</f>
        <v>000111</v>
      </c>
      <c r="M35" s="7">
        <v>43695</v>
      </c>
      <c r="N35" s="8">
        <v>19</v>
      </c>
      <c r="O35" s="8" t="str">
        <f>"005639"</f>
        <v>005639</v>
      </c>
      <c r="P35" s="7">
        <v>43741</v>
      </c>
      <c r="Q35" s="10">
        <v>59.106079999999999</v>
      </c>
      <c r="R35" s="10">
        <v>2.9178799999999998</v>
      </c>
      <c r="S35" s="10">
        <v>56.188200000000002</v>
      </c>
      <c r="T35" s="8">
        <v>13</v>
      </c>
      <c r="U35" s="7">
        <v>43749</v>
      </c>
      <c r="V35" s="8">
        <v>9448736905</v>
      </c>
      <c r="W35" s="9" t="s">
        <v>137</v>
      </c>
      <c r="X35" s="8" t="s">
        <v>85</v>
      </c>
      <c r="Y35" s="9" t="s">
        <v>86</v>
      </c>
      <c r="Z35" s="8" t="s">
        <v>46</v>
      </c>
      <c r="AA35" s="9" t="s">
        <v>47</v>
      </c>
      <c r="AB35" s="10">
        <v>0.59106079999999994</v>
      </c>
    </row>
    <row r="36" spans="1:28" s="4" customFormat="1" ht="13" x14ac:dyDescent="0.3">
      <c r="A36" s="5">
        <v>2529</v>
      </c>
      <c r="B36" s="6" t="s">
        <v>134</v>
      </c>
      <c r="C36" s="7">
        <v>43769</v>
      </c>
      <c r="D36" s="5">
        <v>71</v>
      </c>
      <c r="E36" s="9" t="s">
        <v>48</v>
      </c>
      <c r="F36" s="8" t="s">
        <v>58</v>
      </c>
      <c r="G36" s="9" t="s">
        <v>59</v>
      </c>
      <c r="H36" s="8" t="str">
        <f>"000295"</f>
        <v>000295</v>
      </c>
      <c r="I36" s="7">
        <v>43178</v>
      </c>
      <c r="J36" s="8" t="str">
        <f>"000051"</f>
        <v>000051</v>
      </c>
      <c r="K36" s="7">
        <v>43705</v>
      </c>
      <c r="L36" s="8" t="str">
        <f>"000161"</f>
        <v>000161</v>
      </c>
      <c r="M36" s="7">
        <v>43732</v>
      </c>
      <c r="N36" s="8">
        <v>17</v>
      </c>
      <c r="O36" s="8" t="str">
        <f>"006037"</f>
        <v>006037</v>
      </c>
      <c r="P36" s="7">
        <v>43769</v>
      </c>
      <c r="Q36" s="10">
        <v>58.525359999999999</v>
      </c>
      <c r="R36" s="10">
        <v>3.73726</v>
      </c>
      <c r="S36" s="10">
        <v>54.7881</v>
      </c>
      <c r="T36" s="8">
        <v>13</v>
      </c>
      <c r="U36" s="7">
        <v>43769</v>
      </c>
      <c r="V36" s="8">
        <v>9743188999</v>
      </c>
      <c r="W36" s="9" t="s">
        <v>60</v>
      </c>
      <c r="X36" s="8" t="s">
        <v>39</v>
      </c>
      <c r="Y36" s="9" t="s">
        <v>40</v>
      </c>
      <c r="Z36" s="8" t="s">
        <v>46</v>
      </c>
      <c r="AA36" s="9" t="s">
        <v>47</v>
      </c>
      <c r="AB36" s="10">
        <v>0.58525360000000004</v>
      </c>
    </row>
    <row r="37" spans="1:28" s="4" customFormat="1" ht="13" x14ac:dyDescent="0.3">
      <c r="A37" s="5">
        <v>2530</v>
      </c>
      <c r="B37" s="6" t="s">
        <v>138</v>
      </c>
      <c r="C37" s="7">
        <v>43781</v>
      </c>
      <c r="D37" s="5">
        <v>71</v>
      </c>
      <c r="E37" s="9" t="s">
        <v>48</v>
      </c>
      <c r="F37" s="8" t="s">
        <v>139</v>
      </c>
      <c r="G37" s="9" t="s">
        <v>140</v>
      </c>
      <c r="H37" s="8" t="str">
        <f>"000368"</f>
        <v>000368</v>
      </c>
      <c r="I37" s="7">
        <v>43185</v>
      </c>
      <c r="J37" s="8" t="str">
        <f>"000013"</f>
        <v>000013</v>
      </c>
      <c r="K37" s="7">
        <v>43230</v>
      </c>
      <c r="L37" s="8" t="str">
        <f>"000044"</f>
        <v>000044</v>
      </c>
      <c r="M37" s="7">
        <v>43230</v>
      </c>
      <c r="N37" s="8">
        <v>18</v>
      </c>
      <c r="O37" s="8" t="str">
        <f>"005926"</f>
        <v>005926</v>
      </c>
      <c r="P37" s="7">
        <v>43763</v>
      </c>
      <c r="Q37" s="10">
        <v>111.94265</v>
      </c>
      <c r="R37" s="10">
        <v>3.2384599999999999</v>
      </c>
      <c r="S37" s="10">
        <v>108.70419</v>
      </c>
      <c r="T37" s="8">
        <v>13</v>
      </c>
      <c r="U37" s="7">
        <v>43781</v>
      </c>
      <c r="V37" s="8">
        <v>9036033962</v>
      </c>
      <c r="W37" s="9" t="s">
        <v>141</v>
      </c>
      <c r="X37" s="8" t="s">
        <v>114</v>
      </c>
      <c r="Y37" s="9" t="s">
        <v>115</v>
      </c>
      <c r="Z37" s="8" t="s">
        <v>46</v>
      </c>
      <c r="AA37" s="9" t="s">
        <v>47</v>
      </c>
      <c r="AB37" s="10">
        <v>1.1194265000000001</v>
      </c>
    </row>
    <row r="38" spans="1:28" s="4" customFormat="1" ht="13" x14ac:dyDescent="0.3">
      <c r="A38" s="5">
        <v>2531</v>
      </c>
      <c r="B38" s="6" t="s">
        <v>138</v>
      </c>
      <c r="C38" s="7">
        <v>43781</v>
      </c>
      <c r="D38" s="5">
        <v>71</v>
      </c>
      <c r="E38" s="9" t="s">
        <v>48</v>
      </c>
      <c r="F38" s="8" t="s">
        <v>142</v>
      </c>
      <c r="G38" s="9" t="s">
        <v>143</v>
      </c>
      <c r="H38" s="8" t="str">
        <f>"000370"</f>
        <v>000370</v>
      </c>
      <c r="I38" s="7">
        <v>43185</v>
      </c>
      <c r="J38" s="8" t="str">
        <f>"000011"</f>
        <v>000011</v>
      </c>
      <c r="K38" s="7">
        <v>43230</v>
      </c>
      <c r="L38" s="8" t="str">
        <f>"000045"</f>
        <v>000045</v>
      </c>
      <c r="M38" s="7">
        <v>43230</v>
      </c>
      <c r="N38" s="8">
        <v>18</v>
      </c>
      <c r="O38" s="8" t="str">
        <f>"005927"</f>
        <v>005927</v>
      </c>
      <c r="P38" s="7">
        <v>43763</v>
      </c>
      <c r="Q38" s="10">
        <v>111.93286000000001</v>
      </c>
      <c r="R38" s="10">
        <v>3.4892799999999999</v>
      </c>
      <c r="S38" s="10">
        <v>108.44358</v>
      </c>
      <c r="T38" s="8">
        <v>13</v>
      </c>
      <c r="U38" s="7">
        <v>43781</v>
      </c>
      <c r="V38" s="8">
        <v>9036033962</v>
      </c>
      <c r="W38" s="9" t="s">
        <v>141</v>
      </c>
      <c r="X38" s="8" t="s">
        <v>114</v>
      </c>
      <c r="Y38" s="9" t="s">
        <v>115</v>
      </c>
      <c r="Z38" s="8" t="s">
        <v>46</v>
      </c>
      <c r="AA38" s="9" t="s">
        <v>47</v>
      </c>
      <c r="AB38" s="10">
        <v>1.1193286</v>
      </c>
    </row>
    <row r="39" spans="1:28" s="4" customFormat="1" ht="13" x14ac:dyDescent="0.3">
      <c r="A39" s="5">
        <v>2532</v>
      </c>
      <c r="B39" s="6" t="s">
        <v>138</v>
      </c>
      <c r="C39" s="7">
        <v>43781</v>
      </c>
      <c r="D39" s="5">
        <v>71</v>
      </c>
      <c r="E39" s="9" t="s">
        <v>48</v>
      </c>
      <c r="F39" s="8" t="s">
        <v>144</v>
      </c>
      <c r="G39" s="9" t="s">
        <v>145</v>
      </c>
      <c r="H39" s="8" t="str">
        <f>"000369"</f>
        <v>000369</v>
      </c>
      <c r="I39" s="7">
        <v>43185</v>
      </c>
      <c r="J39" s="8" t="str">
        <f>"000012"</f>
        <v>000012</v>
      </c>
      <c r="K39" s="7">
        <v>43230</v>
      </c>
      <c r="L39" s="8" t="str">
        <f>"000046"</f>
        <v>000046</v>
      </c>
      <c r="M39" s="7">
        <v>43230</v>
      </c>
      <c r="N39" s="8">
        <v>18</v>
      </c>
      <c r="O39" s="8" t="str">
        <f>"005928"</f>
        <v>005928</v>
      </c>
      <c r="P39" s="7">
        <v>43763</v>
      </c>
      <c r="Q39" s="10">
        <v>111.8034</v>
      </c>
      <c r="R39" s="10">
        <v>3.30585</v>
      </c>
      <c r="S39" s="10">
        <v>108.49755</v>
      </c>
      <c r="T39" s="8">
        <v>13</v>
      </c>
      <c r="U39" s="7">
        <v>43781</v>
      </c>
      <c r="V39" s="8">
        <v>9036033962</v>
      </c>
      <c r="W39" s="9" t="s">
        <v>146</v>
      </c>
      <c r="X39" s="8" t="s">
        <v>114</v>
      </c>
      <c r="Y39" s="9" t="s">
        <v>115</v>
      </c>
      <c r="Z39" s="8" t="s">
        <v>46</v>
      </c>
      <c r="AA39" s="9" t="s">
        <v>47</v>
      </c>
      <c r="AB39" s="10">
        <v>1.118034</v>
      </c>
    </row>
    <row r="40" spans="1:28" s="4" customFormat="1" ht="13" x14ac:dyDescent="0.3">
      <c r="A40" s="5">
        <v>2533</v>
      </c>
      <c r="B40" s="6" t="s">
        <v>138</v>
      </c>
      <c r="C40" s="7">
        <v>43787</v>
      </c>
      <c r="D40" s="5">
        <v>71</v>
      </c>
      <c r="E40" s="9" t="s">
        <v>48</v>
      </c>
      <c r="F40" s="8" t="s">
        <v>147</v>
      </c>
      <c r="G40" s="9" t="s">
        <v>148</v>
      </c>
      <c r="H40" s="8" t="str">
        <f>"000256"</f>
        <v>000256</v>
      </c>
      <c r="I40" s="7">
        <v>43441</v>
      </c>
      <c r="J40" s="8" t="str">
        <f>"000082"</f>
        <v>000082</v>
      </c>
      <c r="K40" s="7">
        <v>43453</v>
      </c>
      <c r="L40" s="8" t="str">
        <f>"000267"</f>
        <v>000267</v>
      </c>
      <c r="M40" s="7">
        <v>43456</v>
      </c>
      <c r="N40" s="8">
        <v>18</v>
      </c>
      <c r="O40" s="8" t="str">
        <f>"006234"</f>
        <v>006234</v>
      </c>
      <c r="P40" s="7">
        <v>43783</v>
      </c>
      <c r="Q40" s="10">
        <v>2.6652900000000002</v>
      </c>
      <c r="R40" s="10">
        <v>0.13020999999999999</v>
      </c>
      <c r="S40" s="10">
        <v>2.5350799999999998</v>
      </c>
      <c r="T40" s="8">
        <v>13</v>
      </c>
      <c r="U40" s="7">
        <v>43787</v>
      </c>
      <c r="V40" s="8">
        <v>9739456566</v>
      </c>
      <c r="W40" s="9" t="s">
        <v>149</v>
      </c>
      <c r="X40" s="8" t="s">
        <v>35</v>
      </c>
      <c r="Y40" s="9" t="s">
        <v>36</v>
      </c>
      <c r="Z40" s="8" t="s">
        <v>46</v>
      </c>
      <c r="AA40" s="9" t="s">
        <v>47</v>
      </c>
      <c r="AB40" s="10">
        <v>2.66529E-2</v>
      </c>
    </row>
    <row r="41" spans="1:28" s="4" customFormat="1" ht="13" x14ac:dyDescent="0.3">
      <c r="A41" s="5">
        <v>2534</v>
      </c>
      <c r="B41" s="6" t="s">
        <v>138</v>
      </c>
      <c r="C41" s="7">
        <v>43787</v>
      </c>
      <c r="D41" s="5">
        <v>71</v>
      </c>
      <c r="E41" s="9" t="s">
        <v>48</v>
      </c>
      <c r="F41" s="8" t="s">
        <v>150</v>
      </c>
      <c r="G41" s="9" t="s">
        <v>148</v>
      </c>
      <c r="H41" s="8" t="str">
        <f>"000258"</f>
        <v>000258</v>
      </c>
      <c r="I41" s="7">
        <v>43441</v>
      </c>
      <c r="J41" s="8" t="str">
        <f>"000085"</f>
        <v>000085</v>
      </c>
      <c r="K41" s="7">
        <v>43458</v>
      </c>
      <c r="L41" s="8" t="str">
        <f>"000279"</f>
        <v>000279</v>
      </c>
      <c r="M41" s="7">
        <v>43465</v>
      </c>
      <c r="N41" s="8">
        <v>18</v>
      </c>
      <c r="O41" s="8" t="str">
        <f>"006243"</f>
        <v>006243</v>
      </c>
      <c r="P41" s="7">
        <v>43783</v>
      </c>
      <c r="Q41" s="10">
        <v>2.6694399999999998</v>
      </c>
      <c r="R41" s="10">
        <v>0.12350999999999999</v>
      </c>
      <c r="S41" s="10">
        <v>2.5459299999999998</v>
      </c>
      <c r="T41" s="8">
        <v>13</v>
      </c>
      <c r="U41" s="7">
        <v>43787</v>
      </c>
      <c r="V41" s="8">
        <v>9739456566</v>
      </c>
      <c r="W41" s="9" t="s">
        <v>149</v>
      </c>
      <c r="X41" s="8" t="s">
        <v>35</v>
      </c>
      <c r="Y41" s="9" t="s">
        <v>36</v>
      </c>
      <c r="Z41" s="8" t="s">
        <v>46</v>
      </c>
      <c r="AA41" s="9" t="s">
        <v>47</v>
      </c>
      <c r="AB41" s="10">
        <v>2.6694399999999997E-2</v>
      </c>
    </row>
    <row r="42" spans="1:28" s="4" customFormat="1" ht="13" x14ac:dyDescent="0.3">
      <c r="A42" s="5">
        <v>2535</v>
      </c>
      <c r="B42" s="6" t="s">
        <v>151</v>
      </c>
      <c r="C42" s="7">
        <v>43801</v>
      </c>
      <c r="D42" s="5">
        <v>71</v>
      </c>
      <c r="E42" s="9" t="s">
        <v>48</v>
      </c>
      <c r="F42" s="8" t="s">
        <v>152</v>
      </c>
      <c r="G42" s="9" t="s">
        <v>153</v>
      </c>
      <c r="H42" s="8" t="str">
        <f>"000348"</f>
        <v>000348</v>
      </c>
      <c r="I42" s="7">
        <v>43640</v>
      </c>
      <c r="J42" s="8" t="str">
        <f>"000040"</f>
        <v>000040</v>
      </c>
      <c r="K42" s="7">
        <v>43696</v>
      </c>
      <c r="L42" s="8" t="str">
        <f>"000147"</f>
        <v>000147</v>
      </c>
      <c r="M42" s="7">
        <v>43706</v>
      </c>
      <c r="N42" s="8">
        <v>19</v>
      </c>
      <c r="O42" s="8" t="str">
        <f>"006420"</f>
        <v>006420</v>
      </c>
      <c r="P42" s="7">
        <v>43795</v>
      </c>
      <c r="Q42" s="10">
        <v>88.954170000000005</v>
      </c>
      <c r="R42" s="10">
        <v>10.350440000000001</v>
      </c>
      <c r="S42" s="10">
        <v>78.603729999999999</v>
      </c>
      <c r="T42" s="8">
        <v>13</v>
      </c>
      <c r="U42" s="7">
        <v>43801</v>
      </c>
      <c r="V42" s="8">
        <v>8792620231</v>
      </c>
      <c r="W42" s="9" t="s">
        <v>43</v>
      </c>
      <c r="X42" s="8" t="s">
        <v>85</v>
      </c>
      <c r="Y42" s="9" t="s">
        <v>86</v>
      </c>
      <c r="Z42" s="8" t="s">
        <v>46</v>
      </c>
      <c r="AA42" s="9" t="s">
        <v>47</v>
      </c>
      <c r="AB42" s="10">
        <v>0.8895417000000001</v>
      </c>
    </row>
    <row r="43" spans="1:28" s="4" customFormat="1" ht="13" x14ac:dyDescent="0.3">
      <c r="A43" s="5">
        <v>2536</v>
      </c>
      <c r="B43" s="6" t="s">
        <v>151</v>
      </c>
      <c r="C43" s="7">
        <v>43809</v>
      </c>
      <c r="D43" s="5">
        <v>71</v>
      </c>
      <c r="E43" s="9" t="s">
        <v>48</v>
      </c>
      <c r="F43" s="8" t="s">
        <v>154</v>
      </c>
      <c r="G43" s="9" t="s">
        <v>155</v>
      </c>
      <c r="H43" s="8" t="str">
        <f>"000122"</f>
        <v>000122</v>
      </c>
      <c r="I43" s="7">
        <v>43085</v>
      </c>
      <c r="J43" s="8" t="str">
        <f>"000071"</f>
        <v>000071</v>
      </c>
      <c r="K43" s="7">
        <v>43371</v>
      </c>
      <c r="L43" s="8" t="str">
        <f>"000205"</f>
        <v>000205</v>
      </c>
      <c r="M43" s="7">
        <v>43372</v>
      </c>
      <c r="N43" s="8">
        <v>18</v>
      </c>
      <c r="O43" s="8" t="str">
        <f>"006640"</f>
        <v>006640</v>
      </c>
      <c r="P43" s="7">
        <v>43803</v>
      </c>
      <c r="Q43" s="10">
        <v>39.817599999999999</v>
      </c>
      <c r="R43" s="10">
        <v>3.2763499999999999</v>
      </c>
      <c r="S43" s="10">
        <v>36.541249999999998</v>
      </c>
      <c r="T43" s="8">
        <v>13</v>
      </c>
      <c r="U43" s="7">
        <v>43809</v>
      </c>
      <c r="V43" s="8">
        <v>8553628676</v>
      </c>
      <c r="W43" s="9" t="s">
        <v>43</v>
      </c>
      <c r="X43" s="8" t="s">
        <v>156</v>
      </c>
      <c r="Y43" s="9" t="s">
        <v>157</v>
      </c>
      <c r="Z43" s="8" t="s">
        <v>46</v>
      </c>
      <c r="AA43" s="9" t="s">
        <v>47</v>
      </c>
      <c r="AB43" s="10">
        <v>0.39817599999999997</v>
      </c>
    </row>
    <row r="44" spans="1:28" s="4" customFormat="1" ht="13" x14ac:dyDescent="0.3">
      <c r="A44" s="5">
        <v>2537</v>
      </c>
      <c r="B44" s="6" t="s">
        <v>151</v>
      </c>
      <c r="C44" s="7">
        <v>43818</v>
      </c>
      <c r="D44" s="5">
        <v>71</v>
      </c>
      <c r="E44" s="9" t="s">
        <v>48</v>
      </c>
      <c r="F44" s="8" t="s">
        <v>158</v>
      </c>
      <c r="G44" s="9" t="s">
        <v>159</v>
      </c>
      <c r="H44" s="8" t="str">
        <f>"000266"</f>
        <v>000266</v>
      </c>
      <c r="I44" s="7">
        <v>43167</v>
      </c>
      <c r="J44" s="8" t="str">
        <f>"000014"</f>
        <v>000014</v>
      </c>
      <c r="K44" s="7">
        <v>43238</v>
      </c>
      <c r="L44" s="8" t="str">
        <f>"000056"</f>
        <v>000056</v>
      </c>
      <c r="M44" s="7">
        <v>43251</v>
      </c>
      <c r="N44" s="8">
        <v>18</v>
      </c>
      <c r="O44" s="8" t="str">
        <f>"006768"</f>
        <v>006768</v>
      </c>
      <c r="P44" s="7">
        <v>43811</v>
      </c>
      <c r="Q44" s="10">
        <v>19.975930000000002</v>
      </c>
      <c r="R44" s="10">
        <v>1.9088400000000001</v>
      </c>
      <c r="S44" s="10">
        <v>18.06709</v>
      </c>
      <c r="T44" s="8">
        <v>13</v>
      </c>
      <c r="U44" s="7">
        <v>43818</v>
      </c>
      <c r="V44" s="8">
        <v>9449219909</v>
      </c>
      <c r="W44" s="9" t="s">
        <v>43</v>
      </c>
      <c r="X44" s="8" t="s">
        <v>160</v>
      </c>
      <c r="Y44" s="9" t="s">
        <v>161</v>
      </c>
      <c r="Z44" s="8" t="s">
        <v>46</v>
      </c>
      <c r="AA44" s="9" t="s">
        <v>47</v>
      </c>
      <c r="AB44" s="10">
        <v>0.19975930000000003</v>
      </c>
    </row>
    <row r="45" spans="1:28" s="4" customFormat="1" ht="13" x14ac:dyDescent="0.3">
      <c r="A45" s="5">
        <v>2538</v>
      </c>
      <c r="B45" s="6" t="s">
        <v>151</v>
      </c>
      <c r="C45" s="7">
        <v>43818</v>
      </c>
      <c r="D45" s="5">
        <v>71</v>
      </c>
      <c r="E45" s="9" t="s">
        <v>48</v>
      </c>
      <c r="F45" s="8" t="s">
        <v>162</v>
      </c>
      <c r="G45" s="9" t="s">
        <v>163</v>
      </c>
      <c r="H45" s="8" t="str">
        <f>"000413"</f>
        <v>000413</v>
      </c>
      <c r="I45" s="7">
        <v>42094</v>
      </c>
      <c r="J45" s="8" t="str">
        <f>"000016"</f>
        <v>000016</v>
      </c>
      <c r="K45" s="7">
        <v>43238</v>
      </c>
      <c r="L45" s="8" t="str">
        <f>"000058"</f>
        <v>000058</v>
      </c>
      <c r="M45" s="7">
        <v>43251</v>
      </c>
      <c r="N45" s="8">
        <v>15</v>
      </c>
      <c r="O45" s="8" t="str">
        <f>"006769"</f>
        <v>006769</v>
      </c>
      <c r="P45" s="7">
        <v>43811</v>
      </c>
      <c r="Q45" s="10">
        <v>19.5868</v>
      </c>
      <c r="R45" s="10">
        <v>2.06427</v>
      </c>
      <c r="S45" s="10">
        <v>17.52253</v>
      </c>
      <c r="T45" s="8">
        <v>13</v>
      </c>
      <c r="U45" s="7">
        <v>43818</v>
      </c>
      <c r="V45" s="8">
        <v>9449219009</v>
      </c>
      <c r="W45" s="9" t="s">
        <v>43</v>
      </c>
      <c r="X45" s="8" t="s">
        <v>164</v>
      </c>
      <c r="Y45" s="9" t="s">
        <v>165</v>
      </c>
      <c r="Z45" s="8" t="s">
        <v>46</v>
      </c>
      <c r="AA45" s="9" t="s">
        <v>47</v>
      </c>
      <c r="AB45" s="10">
        <v>0.19586800000000001</v>
      </c>
    </row>
    <row r="46" spans="1:28" s="4" customFormat="1" ht="13" x14ac:dyDescent="0.3">
      <c r="A46" s="5">
        <v>2539</v>
      </c>
      <c r="B46" s="6" t="s">
        <v>151</v>
      </c>
      <c r="C46" s="7">
        <v>43818</v>
      </c>
      <c r="D46" s="5">
        <v>71</v>
      </c>
      <c r="E46" s="9" t="s">
        <v>48</v>
      </c>
      <c r="F46" s="8" t="s">
        <v>166</v>
      </c>
      <c r="G46" s="9" t="s">
        <v>167</v>
      </c>
      <c r="H46" s="8" t="str">
        <f>"000414"</f>
        <v>000414</v>
      </c>
      <c r="I46" s="7">
        <v>42094</v>
      </c>
      <c r="J46" s="8" t="str">
        <f>"000017"</f>
        <v>000017</v>
      </c>
      <c r="K46" s="7">
        <v>43238</v>
      </c>
      <c r="L46" s="8" t="str">
        <f>"000060"</f>
        <v>000060</v>
      </c>
      <c r="M46" s="7">
        <v>43251</v>
      </c>
      <c r="N46" s="8">
        <v>15</v>
      </c>
      <c r="O46" s="8" t="str">
        <f>"006771"</f>
        <v>006771</v>
      </c>
      <c r="P46" s="7">
        <v>43811</v>
      </c>
      <c r="Q46" s="10">
        <v>19.58803</v>
      </c>
      <c r="R46" s="10">
        <v>1.68083</v>
      </c>
      <c r="S46" s="10">
        <v>17.9072</v>
      </c>
      <c r="T46" s="8">
        <v>13</v>
      </c>
      <c r="U46" s="7">
        <v>43818</v>
      </c>
      <c r="V46" s="8">
        <v>9449219009</v>
      </c>
      <c r="W46" s="9" t="s">
        <v>43</v>
      </c>
      <c r="X46" s="8" t="s">
        <v>164</v>
      </c>
      <c r="Y46" s="9" t="s">
        <v>165</v>
      </c>
      <c r="Z46" s="8" t="s">
        <v>46</v>
      </c>
      <c r="AA46" s="9" t="s">
        <v>47</v>
      </c>
      <c r="AB46" s="10">
        <v>0.19588030000000001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2020-01-28T12:00:08Z</dcterms:modified>
</cp:coreProperties>
</file>