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7" i="1" l="1"/>
  <c r="L57" i="1"/>
  <c r="J57" i="1"/>
  <c r="H57" i="1"/>
  <c r="O56" i="1"/>
  <c r="L56" i="1"/>
  <c r="J56" i="1"/>
  <c r="H56" i="1"/>
  <c r="O55" i="1"/>
  <c r="L55" i="1"/>
  <c r="J55" i="1"/>
  <c r="H55" i="1"/>
  <c r="O54" i="1"/>
  <c r="L54" i="1"/>
  <c r="J54" i="1"/>
  <c r="H54" i="1"/>
  <c r="O53" i="1"/>
  <c r="L53" i="1"/>
  <c r="J53" i="1"/>
  <c r="H53" i="1"/>
  <c r="O52" i="1"/>
  <c r="L52" i="1"/>
  <c r="J52" i="1"/>
  <c r="H52" i="1"/>
  <c r="O51" i="1"/>
  <c r="L51" i="1"/>
  <c r="J51" i="1"/>
  <c r="H51" i="1"/>
  <c r="O50" i="1"/>
  <c r="L50" i="1"/>
  <c r="J50" i="1"/>
  <c r="H50" i="1"/>
  <c r="O49" i="1"/>
  <c r="L49" i="1"/>
  <c r="J49" i="1"/>
  <c r="H49" i="1"/>
  <c r="O48" i="1"/>
  <c r="L48" i="1"/>
  <c r="J48" i="1"/>
  <c r="H48" i="1"/>
  <c r="O47" i="1"/>
  <c r="L47" i="1"/>
  <c r="J47" i="1"/>
  <c r="H47" i="1"/>
  <c r="AB46" i="1"/>
  <c r="O46" i="1"/>
  <c r="L46" i="1"/>
  <c r="J46" i="1"/>
  <c r="H46" i="1"/>
  <c r="AB45" i="1"/>
  <c r="O45" i="1"/>
  <c r="L45" i="1"/>
  <c r="J45" i="1"/>
  <c r="H45" i="1"/>
  <c r="AB44" i="1"/>
  <c r="O44" i="1"/>
  <c r="L44" i="1"/>
  <c r="J44" i="1"/>
  <c r="H44" i="1"/>
  <c r="AB43" i="1"/>
  <c r="O43" i="1"/>
  <c r="L43" i="1"/>
  <c r="J43" i="1"/>
  <c r="H43" i="1"/>
  <c r="AB42" i="1"/>
  <c r="O42" i="1"/>
  <c r="L42" i="1"/>
  <c r="J42" i="1"/>
  <c r="H42" i="1"/>
  <c r="AB41"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<sst xmlns="http://schemas.openxmlformats.org/spreadsheetml/2006/main" count="532" uniqueCount="173">
  <si>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</si>
  <si>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</si>
  <si>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</si>
  <si>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</si>
  <si>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</si>
  <si>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</si>
  <si>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</si>
  <si>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</si>
  <si>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</si>
  <si>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</si>
  <si>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</si>
  <si>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</si>
  <si>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</si>
  <si>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</si>
  <si>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</si>
  <si>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</si>
  <si>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</si>
  <si>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</si>
  <si>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</si>
  <si>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</si>
  <si>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</si>
  <si>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</si>
  <si>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</si>
  <si>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</si>
  <si>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</si>
  <si>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</si>
  <si>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</si>
  <si>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</si>
  <si>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</si>
  <si>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</si>
  <si>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</si>
  <si>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</si>
  <si>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May</t>
  </si>
  <si>
    <t>ddo013</t>
  </si>
  <si>
    <t xml:space="preserve"> Assistant Executive Engineer Herohalli Sub Division Rajarajeshwari Nagar Zone</t>
  </si>
  <si>
    <t>M/S Maruthi Electricals Prop:Naveen Kumar</t>
  </si>
  <si>
    <t>ddo009</t>
  </si>
  <si>
    <t xml:space="preserve"> Executive Engineer (Electrical) Rajarajeshwari Nagar Zone</t>
  </si>
  <si>
    <t>M/S Accord Consultants</t>
  </si>
  <si>
    <t>P3111</t>
  </si>
  <si>
    <t>State Finance Commission Untied Grant Works</t>
  </si>
  <si>
    <t>P1878</t>
  </si>
  <si>
    <t>18per - Works (Bhagyajyothi, Sooru / Neeru Yojane and General) (54 Lakhs / New Wards)</t>
  </si>
  <si>
    <t>M/S Mecadez Core Technologies Pvt Ltd</t>
  </si>
  <si>
    <t>Yogesha (Nandi Constructions)</t>
  </si>
  <si>
    <t>P3158</t>
  </si>
  <si>
    <t>SIP Infrastructure Project works</t>
  </si>
  <si>
    <t>M/S Mecadez Core Technologies Pvt Ltd.</t>
  </si>
  <si>
    <t>M/S KRIDL</t>
  </si>
  <si>
    <t>P3296</t>
  </si>
  <si>
    <t>14th Finance Commission Works - Road and Footpath Maintenance</t>
  </si>
  <si>
    <t>P3142</t>
  </si>
  <si>
    <t>LED Pilot Project in Ward No.9, 2, 11, 41, 43, 27, 52, 32, 57, 31, 68, 72,(Each Rs.25Lakhs Ward No.75(Rs.50 Lakhs)</t>
  </si>
  <si>
    <t>P3166</t>
  </si>
  <si>
    <t>Special Development works in ward No.21, 24, 50, 54, 58, 59, 72, 78, 110, 141, 188 and 197 (Rs.200 Lakhs per ward)</t>
  </si>
  <si>
    <t>Herohalli</t>
  </si>
  <si>
    <t>072-16-000001</t>
  </si>
  <si>
    <t>Operation and Maintenance of Street Light System in Ward No.72-Herohalli(P-Herohalli) Package R29 of RajarajeshwariNagar Zone.</t>
  </si>
  <si>
    <t>072-16-000002</t>
  </si>
  <si>
    <t>Operation and Maintenance of Street Light System in Ward No.72-Herohalli(P-Bharathnagar) Package R30 of RajarajeshwariNagar Zone..</t>
  </si>
  <si>
    <t>M/s Maruthi Electricals Prop: Naveen Kumar</t>
  </si>
  <si>
    <t>072-17-000022</t>
  </si>
  <si>
    <t>Consultancy Services for Preparation of Detailed Project Report(D.P.R) for the 07 Works of Kengeri Division. Package-02</t>
  </si>
  <si>
    <t>Sri B.M.Range Gowda</t>
  </si>
  <si>
    <t>Venkateshwara Electricals Prop. K M Raju</t>
  </si>
  <si>
    <t>Venkateswara Electricals Prop.K.M Raju</t>
  </si>
  <si>
    <t>072-18-000482</t>
  </si>
  <si>
    <t>Providing Basic Amenties and Developing Works at Billekallu P U College In Ward No 72 of Herohalli Sub Division</t>
  </si>
  <si>
    <t>072-18-000481</t>
  </si>
  <si>
    <t>Development of Roads and Drains at Surrounding Area of Bilekallu and Daninamande In Ward No 72 of Herohalli Sub Division</t>
  </si>
  <si>
    <t>072-18-000480</t>
  </si>
  <si>
    <t>Providing Consultancy Services for Preparation of Detailed Project Report (DPR) for the Works under Package-30</t>
  </si>
  <si>
    <t>072-19-000030</t>
  </si>
  <si>
    <t>Construction of Retaining Wall at Daninamande Billekallu BBMP School Surrounding  In Ward No 72 of Herohalli Sub Division</t>
  </si>
  <si>
    <t>072-19-000032</t>
  </si>
  <si>
    <t>Construction of Retaining Wall at Daninamande  Billekallu BBMP College Surrounding  In Ward No 72 of Herohalli Sub Division</t>
  </si>
  <si>
    <t>072-19-000033</t>
  </si>
  <si>
    <t>Improvements RCC Drain and Other Development Works at  Daninamande Billekallu BBMP School Surrounding  In Ward No 72 of Herohalli Sub Division</t>
  </si>
  <si>
    <t>072-18-000001</t>
  </si>
  <si>
    <t>Demolition of Over Head Tank at Herohalli Village, in ward no 72, Herohalli of Herohalli Sub Division</t>
  </si>
  <si>
    <t>M/S.KRIDL</t>
  </si>
  <si>
    <t>P0541</t>
  </si>
  <si>
    <t>Emergency Reserve Fund</t>
  </si>
  <si>
    <t>072-19-000001</t>
  </si>
  <si>
    <t>Improvements to roads and drains and other Development works at Vigneshwara nagara and surrounding area stage 02 in ward No 72</t>
  </si>
  <si>
    <t>072-18-000490</t>
  </si>
  <si>
    <t>Providing Consultancy Services for Preparation of Detailed Project Report (DPR) for the Works under Package-5</t>
  </si>
  <si>
    <t>072-18-000485</t>
  </si>
  <si>
    <t>Providing Consultancy Services for Preparation of Detailed Project Report (DPR) for the Works under Package-4</t>
  </si>
  <si>
    <t>072-18-000005</t>
  </si>
  <si>
    <t>Providing UGD Missing Bits at Maruthi Nagar, Prasanna Layout and Other Areas in Ward No.72 of Herohalli Sub-division</t>
  </si>
  <si>
    <t>M/s.Team for You</t>
  </si>
  <si>
    <t>Ms. Mecadez Core Technologies Private Limited</t>
  </si>
  <si>
    <t>072-19-000036</t>
  </si>
  <si>
    <t>Providing Consultancy Services for Preparation of Detailed Project Report (DPR) for the Work Improvements to road and drain and other development works at Vigneshwaranagara &amp; Surrounding area Stage-1 in W-72 &amp; Providing Drinking Water Facilities in W-130 Under P-3296 &amp; P-3293</t>
  </si>
  <si>
    <t>072-17-000002</t>
  </si>
  <si>
    <t>Providing LED Street Lights at Herohalli ward Limits in ward no 72 of Herohalli Sub-Division</t>
  </si>
  <si>
    <t>Lakshmikantha Electricals Prop: Thimmappa</t>
  </si>
  <si>
    <t>072-17-000001</t>
  </si>
  <si>
    <t>Improvements to Roads and Providing Drains at BTS Layout and Muneshwara Block Cross roads in ward no 72 of Herohalli Sub-Division</t>
  </si>
  <si>
    <t>M.D.Gnanendra Murthy</t>
  </si>
  <si>
    <t>July</t>
  </si>
  <si>
    <t>072-18-000022</t>
  </si>
  <si>
    <t>Drilling Borewells and Other Alliged Works at Herohalli Sub Division ward no 40 and Ward No 72</t>
  </si>
  <si>
    <t>P0190</t>
  </si>
  <si>
    <t>Works sanctioned by Hon Mayor</t>
  </si>
  <si>
    <t>072-18-000003</t>
  </si>
  <si>
    <t>Consultancy Services for Preparation of Detailed Project report (DPR) for the Work of Improvements and Asphalting to Roads and drains at BEL Layout in ward no 72 of Herohalli Sub Division</t>
  </si>
  <si>
    <t>B.Siddegowda</t>
  </si>
  <si>
    <t>Construction of Retaining Wall at Daninamande Billekallu BBMP School Surrounding In Ward No 72 of Herohalli Sub Division</t>
  </si>
  <si>
    <t>072-19-000031</t>
  </si>
  <si>
    <t>Improvements and Other Development Work at BBMP School Ground In Ward No 72 of Herohalli Sub Division</t>
  </si>
  <si>
    <t>072-18-000495</t>
  </si>
  <si>
    <t>Improvements of UGD Works in ward no 72 Herohalli</t>
  </si>
  <si>
    <t>P3295</t>
  </si>
  <si>
    <t>14th Finance Commission Works - UGD Works</t>
  </si>
  <si>
    <t>072-18-000002</t>
  </si>
  <si>
    <t>Sinking Energizinsing and Commissining of Borewells in Herohalli Ward Area in Ward No. 72</t>
  </si>
  <si>
    <t>Sri M. Rajesh (Sri Nanjundeshwara Construction)</t>
  </si>
  <si>
    <t>August</t>
  </si>
  <si>
    <t>072-11-000101</t>
  </si>
  <si>
    <t xml:space="preserve">Setting up and operation of Nisurgruna Bio-gas plant for Bio degredable waste of 5MT capacity based on Bhabha Atomic Research centre technology in ward no72, RR Nagara, Bilekallu. </t>
  </si>
  <si>
    <t>M/s Ashoka Biogreen Pvt Ltd</t>
  </si>
  <si>
    <t>P2200</t>
  </si>
  <si>
    <t>Works to be taken up under 13th Finance Commission</t>
  </si>
  <si>
    <t>ddo326</t>
  </si>
  <si>
    <t xml:space="preserve"> Executive Engineer SWM 1 Central Zone</t>
  </si>
  <si>
    <t>September</t>
  </si>
  <si>
    <t>072-19-000029</t>
  </si>
  <si>
    <t>Construction of Toilets,Library and Other Basic Facilities Infrastructure Work at BBMP School In Ward No 72 of Herohalli Sub Division</t>
  </si>
  <si>
    <t>072-17-000004</t>
  </si>
  <si>
    <t>Improvements to Roads and Providing Drains at Byadarahalli Adjecent to BEL layout Cross Roads in ward no 72 of Herohalli Sub-Division</t>
  </si>
  <si>
    <t xml:space="preserve">M/s. Mecadez Core Technologies Pvt. Ltd </t>
  </si>
  <si>
    <t>P3172</t>
  </si>
  <si>
    <t>Special Development works in ward No.177,78,97, 57,99,100,68,11,126,168, 113,02, 181,03, 21,33,23,24,27 ,59,53,57,81,47, 45,72, 50,91,92,117,145,146,147,148,151,152, 122,134, 157, 84,85,150,163, 179,180, 170, 171, 175,176, 173,174, 186,189, 190,193,185,191,194, 195,196, 127, (Rs.200 lakhs each ward)</t>
  </si>
  <si>
    <t>072-18-000056</t>
  </si>
  <si>
    <t>Providing water Through tractor and Tanker at Vigneshwaranagar and Muneshwaranagar area in ward no 72 of Herohalli Sub Division</t>
  </si>
  <si>
    <t>072-19-000018</t>
  </si>
  <si>
    <t>Maintenance of Street lights at Herohalli ward Limits in ward no 72</t>
  </si>
  <si>
    <t>PM Channegowda, Prop. Sri Lakshminarasimha Electricals.</t>
  </si>
  <si>
    <t>P3290</t>
  </si>
  <si>
    <t>14th Finance Commission Works - Providing Street Lights and Maintenance</t>
  </si>
  <si>
    <t>October</t>
  </si>
  <si>
    <t>072-18-000058</t>
  </si>
  <si>
    <t>Providing water supply works at Herohalli Village and Surrounding area in ward no 72 of Herohalli Sub Division</t>
  </si>
  <si>
    <t>072-17-000109</t>
  </si>
  <si>
    <t>Consultancy Services for Preparation of Detailed Project Report (DPR) for the Improvements to playground in BEL Layout and Syndicate Bank Layout, Magadi layout main road Yeshwanthapura Assembly constituency ward no 72 in Kengeri Division (Package-1)</t>
  </si>
  <si>
    <t>Mahesh K N</t>
  </si>
  <si>
    <t>P3106</t>
  </si>
  <si>
    <t>Nagarothana Works</t>
  </si>
  <si>
    <t>072-18-000054</t>
  </si>
  <si>
    <t>Providing Consultancy Services for Preparation of Detailed Project Report (DPR) for the work of Improvements and Asphalting of Roads in Heroihalli and surrounding area of ward no 72</t>
  </si>
  <si>
    <t>B. Siddegowda</t>
  </si>
  <si>
    <t>November</t>
  </si>
  <si>
    <t>072-18-000027</t>
  </si>
  <si>
    <t>Sinking of Borewells and Allied works in ward no 72 of Herohalli Sub Division</t>
  </si>
  <si>
    <t>Devaraj Kuppar L (Devu Enterprises)</t>
  </si>
  <si>
    <t>P3334</t>
  </si>
  <si>
    <t>Special Development works at Ward No.106.141.151.072 ( 04 wards Rs.6.00 Cr. Each)</t>
  </si>
  <si>
    <t>072-18-000044</t>
  </si>
  <si>
    <t>Water Supply Maintenance at Northern Side Ward Limits of Ward No 72 Herohalli of Herohalli Sub Division</t>
  </si>
  <si>
    <t>Devaraj (M/s. Sushma Engineering Works)</t>
  </si>
  <si>
    <t>P1771</t>
  </si>
  <si>
    <t>Zone Works - POW Works</t>
  </si>
  <si>
    <t>072-18-000045</t>
  </si>
  <si>
    <t>Water Supply Maintenance at Southern Side Ward Limits of Ward No 72 Herohalli of Herohalli Sub Division</t>
  </si>
  <si>
    <t>December</t>
  </si>
  <si>
    <t xml:space="preserve"> M/s.Civil Quality Consultants &amp; Engineers</t>
  </si>
  <si>
    <t>072-18-000004</t>
  </si>
  <si>
    <t>Consultancy Services for Project Management including supervision and Quality control for the work of Drilling Borewells for Water Supply in ward no 72.</t>
  </si>
  <si>
    <t>Civil Quality Consultants and Engineers</t>
  </si>
  <si>
    <t>P3321</t>
  </si>
  <si>
    <t>Special Development works at Yeshwanthpur, Shantinagar, K.R.Puram, Assembly Constituencies Rs.5.00 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</si>
</sst>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abSelected="1" workbookViewId="0">
      <selection activeCell="A2" sqref="A2:XFD57"/>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2540</v>
      </c>
      <c r="B2" s="6" t="s">
        <v>28</v>
      </c>
      <c r="C2" s="7">
        <v>43567</v>
      </c>
      <c r="D2" s="8">
        <v>72</v>
      </c>
      <c r="E2" s="9" t="s">
        <v>55</v>
      </c>
      <c r="F2" s="8" t="s">
        <v>56</v>
      </c>
      <c r="G2" s="9" t="s">
        <v>57</v>
      </c>
      <c r="H2" s="8" t="str">
        <f>"000042"</f>
        <v>000042</v>
      </c>
      <c r="I2" s="7">
        <v>42794</v>
      </c>
      <c r="J2" s="8" t="str">
        <f>"000160"</f>
        <v>000160</v>
      </c>
      <c r="K2" s="7">
        <v>43540</v>
      </c>
      <c r="L2" s="8" t="str">
        <f>"000161"</f>
        <v>000161</v>
      </c>
      <c r="M2" s="7">
        <v>43540</v>
      </c>
      <c r="N2" s="8">
        <v>16</v>
      </c>
      <c r="O2" s="8" t="str">
        <f>""</f>
        <v/>
      </c>
      <c r="P2" s="7"/>
      <c r="Q2" s="10">
        <v>2.65917</v>
      </c>
      <c r="R2" s="10">
        <v>0.17721000000000001</v>
      </c>
      <c r="S2" s="10">
        <v>2.4819599999999999</v>
      </c>
      <c r="T2" s="8">
        <v>17</v>
      </c>
      <c r="U2" s="7">
        <v>43567</v>
      </c>
      <c r="V2" s="8">
        <v>9845021612</v>
      </c>
      <c r="W2" s="9" t="s">
        <v>35</v>
      </c>
      <c r="X2" s="8" t="s">
        <v>29</v>
      </c>
      <c r="Y2" s="9" t="s">
        <v>30</v>
      </c>
      <c r="Z2" s="8" t="s">
        <v>36</v>
      </c>
      <c r="AA2" s="9" t="s">
        <v>37</v>
      </c>
      <c r="AB2" s="10">
        <f t="shared" ref="AB2:AB22" si="0">Q2/100</f>
        <v>2.6591699999999999E-2</v>
      </c>
    </row>
    <row r="3" spans="1:28" s="4" customFormat="1" ht="13" x14ac:dyDescent="0.3">
      <c r="A3" s="5">
        <v>2541</v>
      </c>
      <c r="B3" s="6" t="s">
        <v>28</v>
      </c>
      <c r="C3" s="7">
        <v>43567</v>
      </c>
      <c r="D3" s="8">
        <v>72</v>
      </c>
      <c r="E3" s="9" t="s">
        <v>55</v>
      </c>
      <c r="F3" s="8" t="s">
        <v>58</v>
      </c>
      <c r="G3" s="9" t="s">
        <v>59</v>
      </c>
      <c r="H3" s="8" t="str">
        <f>"000043"</f>
        <v>000043</v>
      </c>
      <c r="I3" s="7">
        <v>42794</v>
      </c>
      <c r="J3" s="8" t="str">
        <f>"000159"</f>
        <v>000159</v>
      </c>
      <c r="K3" s="7">
        <v>43540</v>
      </c>
      <c r="L3" s="8" t="str">
        <f>"000160"</f>
        <v>000160</v>
      </c>
      <c r="M3" s="7">
        <v>43540</v>
      </c>
      <c r="N3" s="8">
        <v>16</v>
      </c>
      <c r="O3" s="8" t="str">
        <f>""</f>
        <v/>
      </c>
      <c r="P3" s="7"/>
      <c r="Q3" s="10">
        <v>2.7357900000000002</v>
      </c>
      <c r="R3" s="10">
        <v>0.18190000000000001</v>
      </c>
      <c r="S3" s="10">
        <v>2.55389</v>
      </c>
      <c r="T3" s="8">
        <v>17</v>
      </c>
      <c r="U3" s="7">
        <v>43567</v>
      </c>
      <c r="V3" s="8">
        <v>9845021612</v>
      </c>
      <c r="W3" s="9" t="s">
        <v>60</v>
      </c>
      <c r="X3" s="8" t="s">
        <v>29</v>
      </c>
      <c r="Y3" s="9" t="s">
        <v>30</v>
      </c>
      <c r="Z3" s="8" t="s">
        <v>36</v>
      </c>
      <c r="AA3" s="9" t="s">
        <v>37</v>
      </c>
      <c r="AB3" s="10">
        <f t="shared" si="0"/>
        <v>2.7357900000000001E-2</v>
      </c>
    </row>
    <row r="4" spans="1:28" s="4" customFormat="1" ht="13" x14ac:dyDescent="0.3">
      <c r="A4" s="5">
        <v>2542</v>
      </c>
      <c r="B4" s="6" t="s">
        <v>28</v>
      </c>
      <c r="C4" s="7">
        <v>43571</v>
      </c>
      <c r="D4" s="8">
        <v>72</v>
      </c>
      <c r="E4" s="9" t="s">
        <v>55</v>
      </c>
      <c r="F4" s="8" t="s">
        <v>61</v>
      </c>
      <c r="G4" s="9" t="s">
        <v>62</v>
      </c>
      <c r="H4" s="8" t="str">
        <f>"000067"</f>
        <v>000067</v>
      </c>
      <c r="I4" s="7">
        <v>42602</v>
      </c>
      <c r="J4" s="8" t="str">
        <f>"000223"</f>
        <v>000223</v>
      </c>
      <c r="K4" s="7">
        <v>42768</v>
      </c>
      <c r="L4" s="8" t="str">
        <f>""</f>
        <v/>
      </c>
      <c r="M4" s="7">
        <v>438</v>
      </c>
      <c r="N4" s="8">
        <v>17</v>
      </c>
      <c r="O4" s="8" t="str">
        <f>"008138"</f>
        <v>008138</v>
      </c>
      <c r="P4" s="7">
        <v>42804</v>
      </c>
      <c r="Q4" s="10">
        <v>38.906359999999999</v>
      </c>
      <c r="R4" s="10">
        <v>2.07178</v>
      </c>
      <c r="S4" s="10">
        <v>36.834580000000003</v>
      </c>
      <c r="T4" s="8">
        <v>18</v>
      </c>
      <c r="U4" s="7">
        <v>43571</v>
      </c>
      <c r="V4" s="8">
        <v>9448450661</v>
      </c>
      <c r="W4" s="9" t="s">
        <v>63</v>
      </c>
      <c r="X4" s="8" t="s">
        <v>45</v>
      </c>
      <c r="Y4" s="9" t="s">
        <v>46</v>
      </c>
      <c r="Z4" s="8" t="s">
        <v>33</v>
      </c>
      <c r="AA4" s="9" t="s">
        <v>34</v>
      </c>
      <c r="AB4" s="10">
        <f t="shared" si="0"/>
        <v>0.38906360000000001</v>
      </c>
    </row>
    <row r="5" spans="1:28" s="4" customFormat="1" ht="13" x14ac:dyDescent="0.3">
      <c r="A5" s="5">
        <v>2543</v>
      </c>
      <c r="B5" s="6" t="s">
        <v>28</v>
      </c>
      <c r="C5" s="7">
        <v>43580</v>
      </c>
      <c r="D5" s="8">
        <v>72</v>
      </c>
      <c r="E5" s="9" t="s">
        <v>55</v>
      </c>
      <c r="F5" s="8" t="s">
        <v>58</v>
      </c>
      <c r="G5" s="9" t="s">
        <v>59</v>
      </c>
      <c r="H5" s="8" t="str">
        <f>"000043"</f>
        <v>000043</v>
      </c>
      <c r="I5" s="7">
        <v>42794</v>
      </c>
      <c r="J5" s="8" t="str">
        <f>"000159"</f>
        <v>000159</v>
      </c>
      <c r="K5" s="7">
        <v>43540</v>
      </c>
      <c r="L5" s="8" t="str">
        <f>"000160"</f>
        <v>000160</v>
      </c>
      <c r="M5" s="7">
        <v>43540</v>
      </c>
      <c r="N5" s="8">
        <v>16</v>
      </c>
      <c r="O5" s="8" t="str">
        <f>"001761"</f>
        <v>001761</v>
      </c>
      <c r="P5" s="7">
        <v>43603</v>
      </c>
      <c r="Q5" s="10">
        <v>3.6477200000000001</v>
      </c>
      <c r="R5" s="10">
        <v>0.48492000000000002</v>
      </c>
      <c r="S5" s="10">
        <v>3.1627999999999998</v>
      </c>
      <c r="T5" s="8">
        <v>29</v>
      </c>
      <c r="U5" s="7">
        <v>43580</v>
      </c>
      <c r="V5" s="8">
        <v>9845695444</v>
      </c>
      <c r="W5" s="9" t="s">
        <v>64</v>
      </c>
      <c r="X5" s="8" t="s">
        <v>29</v>
      </c>
      <c r="Y5" s="9" t="s">
        <v>30</v>
      </c>
      <c r="Z5" s="8" t="s">
        <v>36</v>
      </c>
      <c r="AA5" s="9" t="s">
        <v>37</v>
      </c>
      <c r="AB5" s="10">
        <f t="shared" si="0"/>
        <v>3.6477200000000001E-2</v>
      </c>
    </row>
    <row r="6" spans="1:28" s="4" customFormat="1" ht="13" x14ac:dyDescent="0.3">
      <c r="A6" s="5">
        <v>2544</v>
      </c>
      <c r="B6" s="6" t="s">
        <v>28</v>
      </c>
      <c r="C6" s="7">
        <v>43580</v>
      </c>
      <c r="D6" s="8">
        <v>72</v>
      </c>
      <c r="E6" s="9" t="s">
        <v>55</v>
      </c>
      <c r="F6" s="8" t="s">
        <v>56</v>
      </c>
      <c r="G6" s="9" t="s">
        <v>57</v>
      </c>
      <c r="H6" s="8" t="str">
        <f>"000042"</f>
        <v>000042</v>
      </c>
      <c r="I6" s="7">
        <v>42794</v>
      </c>
      <c r="J6" s="8" t="str">
        <f>"000160"</f>
        <v>000160</v>
      </c>
      <c r="K6" s="7">
        <v>43540</v>
      </c>
      <c r="L6" s="8" t="str">
        <f>"000161"</f>
        <v>000161</v>
      </c>
      <c r="M6" s="7">
        <v>43540</v>
      </c>
      <c r="N6" s="8">
        <v>16</v>
      </c>
      <c r="O6" s="8" t="str">
        <f>"001762"</f>
        <v>001762</v>
      </c>
      <c r="P6" s="7">
        <v>43603</v>
      </c>
      <c r="Q6" s="10">
        <v>3.5455399999999999</v>
      </c>
      <c r="R6" s="10">
        <v>0.47359000000000001</v>
      </c>
      <c r="S6" s="10">
        <v>3.0719500000000002</v>
      </c>
      <c r="T6" s="8">
        <v>29</v>
      </c>
      <c r="U6" s="7">
        <v>43580</v>
      </c>
      <c r="V6" s="8">
        <v>9845695444</v>
      </c>
      <c r="W6" s="9" t="s">
        <v>65</v>
      </c>
      <c r="X6" s="8" t="s">
        <v>29</v>
      </c>
      <c r="Y6" s="9" t="s">
        <v>30</v>
      </c>
      <c r="Z6" s="8" t="s">
        <v>36</v>
      </c>
      <c r="AA6" s="9" t="s">
        <v>37</v>
      </c>
      <c r="AB6" s="10">
        <f t="shared" si="0"/>
        <v>3.5455399999999998E-2</v>
      </c>
    </row>
    <row r="7" spans="1:28" s="4" customFormat="1" ht="13" x14ac:dyDescent="0.3">
      <c r="A7" s="5">
        <v>2545</v>
      </c>
      <c r="B7" s="6" t="s">
        <v>28</v>
      </c>
      <c r="C7" s="7">
        <v>43581</v>
      </c>
      <c r="D7" s="8">
        <v>72</v>
      </c>
      <c r="E7" s="9" t="s">
        <v>55</v>
      </c>
      <c r="F7" s="8" t="s">
        <v>66</v>
      </c>
      <c r="G7" s="9" t="s">
        <v>67</v>
      </c>
      <c r="H7" s="8" t="str">
        <f>"000177"</f>
        <v>000177</v>
      </c>
      <c r="I7" s="7">
        <v>43272</v>
      </c>
      <c r="J7" s="8" t="str">
        <f>"000182"</f>
        <v>000182</v>
      </c>
      <c r="K7" s="7">
        <v>43432</v>
      </c>
      <c r="L7" s="8" t="str">
        <f>"000369"</f>
        <v>000369</v>
      </c>
      <c r="M7" s="7">
        <v>43433</v>
      </c>
      <c r="N7" s="8">
        <v>18</v>
      </c>
      <c r="O7" s="8" t="str">
        <f>"000912"</f>
        <v>000912</v>
      </c>
      <c r="P7" s="7">
        <v>43579</v>
      </c>
      <c r="Q7" s="10">
        <v>49.104900000000001</v>
      </c>
      <c r="R7" s="10">
        <v>5.3430299999999997</v>
      </c>
      <c r="S7" s="10">
        <v>43.761870000000002</v>
      </c>
      <c r="T7" s="8">
        <v>30</v>
      </c>
      <c r="U7" s="7">
        <v>43581</v>
      </c>
      <c r="V7" s="8">
        <v>9845235505</v>
      </c>
      <c r="W7" s="9" t="s">
        <v>48</v>
      </c>
      <c r="X7" s="8" t="s">
        <v>41</v>
      </c>
      <c r="Y7" s="9" t="s">
        <v>42</v>
      </c>
      <c r="Z7" s="8" t="s">
        <v>33</v>
      </c>
      <c r="AA7" s="9" t="s">
        <v>34</v>
      </c>
      <c r="AB7" s="10">
        <f t="shared" si="0"/>
        <v>0.49104900000000001</v>
      </c>
    </row>
    <row r="8" spans="1:28" s="4" customFormat="1" ht="13" x14ac:dyDescent="0.3">
      <c r="A8" s="5">
        <v>2546</v>
      </c>
      <c r="B8" s="6" t="s">
        <v>28</v>
      </c>
      <c r="C8" s="7">
        <v>43581</v>
      </c>
      <c r="D8" s="8">
        <v>72</v>
      </c>
      <c r="E8" s="9" t="s">
        <v>55</v>
      </c>
      <c r="F8" s="8" t="s">
        <v>68</v>
      </c>
      <c r="G8" s="9" t="s">
        <v>69</v>
      </c>
      <c r="H8" s="8" t="str">
        <f>"000176"</f>
        <v>000176</v>
      </c>
      <c r="I8" s="7">
        <v>43272</v>
      </c>
      <c r="J8" s="8" t="str">
        <f>"000181"</f>
        <v>000181</v>
      </c>
      <c r="K8" s="7">
        <v>43432</v>
      </c>
      <c r="L8" s="8" t="str">
        <f>"000368"</f>
        <v>000368</v>
      </c>
      <c r="M8" s="7">
        <v>43433</v>
      </c>
      <c r="N8" s="8">
        <v>18</v>
      </c>
      <c r="O8" s="8" t="str">
        <f>"000913"</f>
        <v>000913</v>
      </c>
      <c r="P8" s="7">
        <v>43579</v>
      </c>
      <c r="Q8" s="10">
        <v>49.063940000000002</v>
      </c>
      <c r="R8" s="10">
        <v>5.3383700000000003</v>
      </c>
      <c r="S8" s="10">
        <v>43.725569999999998</v>
      </c>
      <c r="T8" s="8">
        <v>30</v>
      </c>
      <c r="U8" s="7">
        <v>43581</v>
      </c>
      <c r="V8" s="8">
        <v>9845235505</v>
      </c>
      <c r="W8" s="9" t="s">
        <v>48</v>
      </c>
      <c r="X8" s="8" t="s">
        <v>41</v>
      </c>
      <c r="Y8" s="9" t="s">
        <v>42</v>
      </c>
      <c r="Z8" s="8" t="s">
        <v>33</v>
      </c>
      <c r="AA8" s="9" t="s">
        <v>34</v>
      </c>
      <c r="AB8" s="10">
        <f t="shared" si="0"/>
        <v>0.4906394</v>
      </c>
    </row>
    <row r="9" spans="1:28" s="4" customFormat="1" ht="13" x14ac:dyDescent="0.3">
      <c r="A9" s="5">
        <v>2547</v>
      </c>
      <c r="B9" s="6" t="s">
        <v>28</v>
      </c>
      <c r="C9" s="7">
        <v>43581</v>
      </c>
      <c r="D9" s="8">
        <v>72</v>
      </c>
      <c r="E9" s="9" t="s">
        <v>55</v>
      </c>
      <c r="F9" s="8" t="s">
        <v>70</v>
      </c>
      <c r="G9" s="9" t="s">
        <v>71</v>
      </c>
      <c r="H9" s="8" t="str">
        <f>"000118"</f>
        <v>000118</v>
      </c>
      <c r="I9" s="7">
        <v>43243</v>
      </c>
      <c r="J9" s="8" t="str">
        <f>"000005"</f>
        <v>000005</v>
      </c>
      <c r="K9" s="7">
        <v>43559</v>
      </c>
      <c r="L9" s="8" t="str">
        <f>"000010"</f>
        <v>000010</v>
      </c>
      <c r="M9" s="7">
        <v>43562</v>
      </c>
      <c r="N9" s="8">
        <v>18</v>
      </c>
      <c r="O9" s="8" t="str">
        <f>""</f>
        <v/>
      </c>
      <c r="P9" s="7"/>
      <c r="Q9" s="10">
        <v>49.08999</v>
      </c>
      <c r="R9" s="10">
        <v>5.34192</v>
      </c>
      <c r="S9" s="10">
        <v>43.748069999999998</v>
      </c>
      <c r="T9" s="8">
        <v>30</v>
      </c>
      <c r="U9" s="7">
        <v>43581</v>
      </c>
      <c r="V9" s="8">
        <v>9845235505</v>
      </c>
      <c r="W9" s="9" t="s">
        <v>48</v>
      </c>
      <c r="X9" s="8" t="s">
        <v>41</v>
      </c>
      <c r="Y9" s="9" t="s">
        <v>42</v>
      </c>
      <c r="Z9" s="8" t="s">
        <v>33</v>
      </c>
      <c r="AA9" s="9" t="s">
        <v>34</v>
      </c>
      <c r="AB9" s="10">
        <f t="shared" si="0"/>
        <v>0.4908999</v>
      </c>
    </row>
    <row r="10" spans="1:28" s="4" customFormat="1" ht="13" x14ac:dyDescent="0.3">
      <c r="A10" s="5">
        <v>2548</v>
      </c>
      <c r="B10" s="6" t="s">
        <v>32</v>
      </c>
      <c r="C10" s="7">
        <v>43588</v>
      </c>
      <c r="D10" s="8">
        <v>72</v>
      </c>
      <c r="E10" s="9" t="s">
        <v>55</v>
      </c>
      <c r="F10" s="8" t="s">
        <v>85</v>
      </c>
      <c r="G10" s="9" t="s">
        <v>86</v>
      </c>
      <c r="H10" s="8" t="str">
        <f>"000119"</f>
        <v>000119</v>
      </c>
      <c r="I10" s="7">
        <v>43243</v>
      </c>
      <c r="J10" s="8" t="str">
        <f>"000279"</f>
        <v>000279</v>
      </c>
      <c r="K10" s="7">
        <v>43549</v>
      </c>
      <c r="L10" s="8" t="str">
        <f>"000519"</f>
        <v>000519</v>
      </c>
      <c r="M10" s="7">
        <v>43552</v>
      </c>
      <c r="N10" s="8">
        <v>18</v>
      </c>
      <c r="O10" s="8" t="str">
        <f>"001112"</f>
        <v>001112</v>
      </c>
      <c r="P10" s="7">
        <v>43581</v>
      </c>
      <c r="Q10" s="10">
        <v>4.9795999999999996</v>
      </c>
      <c r="R10" s="10">
        <v>0.49796000000000001</v>
      </c>
      <c r="S10" s="10">
        <v>4.4816399999999996</v>
      </c>
      <c r="T10" s="8">
        <v>33</v>
      </c>
      <c r="U10" s="7">
        <v>43588</v>
      </c>
      <c r="V10" s="8">
        <v>9538136111</v>
      </c>
      <c r="W10" s="9" t="s">
        <v>47</v>
      </c>
      <c r="X10" s="8" t="s">
        <v>45</v>
      </c>
      <c r="Y10" s="9" t="s">
        <v>46</v>
      </c>
      <c r="Z10" s="8" t="s">
        <v>33</v>
      </c>
      <c r="AA10" s="9" t="s">
        <v>34</v>
      </c>
      <c r="AB10" s="10">
        <f t="shared" si="0"/>
        <v>4.9795999999999993E-2</v>
      </c>
    </row>
    <row r="11" spans="1:28" s="4" customFormat="1" ht="13" x14ac:dyDescent="0.3">
      <c r="A11" s="5">
        <v>2549</v>
      </c>
      <c r="B11" s="6" t="s">
        <v>32</v>
      </c>
      <c r="C11" s="7">
        <v>43588</v>
      </c>
      <c r="D11" s="8">
        <v>72</v>
      </c>
      <c r="E11" s="9" t="s">
        <v>55</v>
      </c>
      <c r="F11" s="8" t="s">
        <v>85</v>
      </c>
      <c r="G11" s="9" t="s">
        <v>86</v>
      </c>
      <c r="H11" s="8" t="str">
        <f>"000119"</f>
        <v>000119</v>
      </c>
      <c r="I11" s="7">
        <v>43243</v>
      </c>
      <c r="J11" s="8" t="str">
        <f>"000279"</f>
        <v>000279</v>
      </c>
      <c r="K11" s="7">
        <v>43549</v>
      </c>
      <c r="L11" s="8" t="str">
        <f>"000519"</f>
        <v>000519</v>
      </c>
      <c r="M11" s="7">
        <v>43552</v>
      </c>
      <c r="N11" s="8">
        <v>18</v>
      </c>
      <c r="O11" s="8" t="str">
        <f>"001112"</f>
        <v>001112</v>
      </c>
      <c r="P11" s="7">
        <v>43581</v>
      </c>
      <c r="Q11" s="10">
        <v>4.9855</v>
      </c>
      <c r="R11" s="10">
        <v>0.49854999999999999</v>
      </c>
      <c r="S11" s="10">
        <v>4.4869500000000002</v>
      </c>
      <c r="T11" s="8">
        <v>33</v>
      </c>
      <c r="U11" s="7">
        <v>43588</v>
      </c>
      <c r="V11" s="8">
        <v>8618239904</v>
      </c>
      <c r="W11" s="9" t="s">
        <v>38</v>
      </c>
      <c r="X11" s="8" t="s">
        <v>45</v>
      </c>
      <c r="Y11" s="9" t="s">
        <v>46</v>
      </c>
      <c r="Z11" s="8" t="s">
        <v>33</v>
      </c>
      <c r="AA11" s="9" t="s">
        <v>34</v>
      </c>
      <c r="AB11" s="10">
        <f t="shared" si="0"/>
        <v>4.9855000000000003E-2</v>
      </c>
    </row>
    <row r="12" spans="1:28" s="4" customFormat="1" ht="13" x14ac:dyDescent="0.3">
      <c r="A12" s="5">
        <v>2550</v>
      </c>
      <c r="B12" s="6" t="s">
        <v>32</v>
      </c>
      <c r="C12" s="7">
        <v>43588</v>
      </c>
      <c r="D12" s="8">
        <v>72</v>
      </c>
      <c r="E12" s="9" t="s">
        <v>55</v>
      </c>
      <c r="F12" s="8" t="s">
        <v>87</v>
      </c>
      <c r="G12" s="9" t="s">
        <v>88</v>
      </c>
      <c r="H12" s="8" t="str">
        <f>"000123"</f>
        <v>000123</v>
      </c>
      <c r="I12" s="7">
        <v>43243</v>
      </c>
      <c r="J12" s="8" t="str">
        <f>"000007"</f>
        <v>000007</v>
      </c>
      <c r="K12" s="7">
        <v>43563</v>
      </c>
      <c r="L12" s="8" t="str">
        <f>"000022"</f>
        <v>000022</v>
      </c>
      <c r="M12" s="7">
        <v>43565</v>
      </c>
      <c r="N12" s="8">
        <v>18</v>
      </c>
      <c r="O12" s="8" t="str">
        <f>"001162"</f>
        <v>001162</v>
      </c>
      <c r="P12" s="7">
        <v>43581</v>
      </c>
      <c r="Q12" s="10">
        <v>4.9795999999999996</v>
      </c>
      <c r="R12" s="10">
        <v>0.49796000000000001</v>
      </c>
      <c r="S12" s="10">
        <v>4.4816399999999996</v>
      </c>
      <c r="T12" s="8">
        <v>33</v>
      </c>
      <c r="U12" s="7">
        <v>43588</v>
      </c>
      <c r="V12" s="8">
        <v>9538136111</v>
      </c>
      <c r="W12" s="9" t="s">
        <v>47</v>
      </c>
      <c r="X12" s="8" t="s">
        <v>45</v>
      </c>
      <c r="Y12" s="9" t="s">
        <v>46</v>
      </c>
      <c r="Z12" s="8" t="s">
        <v>33</v>
      </c>
      <c r="AA12" s="9" t="s">
        <v>34</v>
      </c>
      <c r="AB12" s="10">
        <f t="shared" si="0"/>
        <v>4.9795999999999993E-2</v>
      </c>
    </row>
    <row r="13" spans="1:28" s="4" customFormat="1" ht="13" x14ac:dyDescent="0.3">
      <c r="A13" s="5">
        <v>2551</v>
      </c>
      <c r="B13" s="6" t="s">
        <v>32</v>
      </c>
      <c r="C13" s="7">
        <v>43588</v>
      </c>
      <c r="D13" s="8">
        <v>72</v>
      </c>
      <c r="E13" s="9" t="s">
        <v>55</v>
      </c>
      <c r="F13" s="8" t="s">
        <v>87</v>
      </c>
      <c r="G13" s="9" t="s">
        <v>88</v>
      </c>
      <c r="H13" s="8" t="str">
        <f>"000123"</f>
        <v>000123</v>
      </c>
      <c r="I13" s="7">
        <v>43243</v>
      </c>
      <c r="J13" s="8" t="str">
        <f>"000007"</f>
        <v>000007</v>
      </c>
      <c r="K13" s="7">
        <v>43563</v>
      </c>
      <c r="L13" s="8" t="str">
        <f>"000022"</f>
        <v>000022</v>
      </c>
      <c r="M13" s="7">
        <v>43565</v>
      </c>
      <c r="N13" s="8">
        <v>18</v>
      </c>
      <c r="O13" s="8" t="str">
        <f>"001162"</f>
        <v>001162</v>
      </c>
      <c r="P13" s="7">
        <v>43581</v>
      </c>
      <c r="Q13" s="10">
        <v>4.9855</v>
      </c>
      <c r="R13" s="10">
        <v>0.49854999999999999</v>
      </c>
      <c r="S13" s="10">
        <v>4.4869500000000002</v>
      </c>
      <c r="T13" s="8">
        <v>33</v>
      </c>
      <c r="U13" s="7">
        <v>43588</v>
      </c>
      <c r="V13" s="8">
        <v>8618239904</v>
      </c>
      <c r="W13" s="9" t="s">
        <v>38</v>
      </c>
      <c r="X13" s="8" t="s">
        <v>45</v>
      </c>
      <c r="Y13" s="9" t="s">
        <v>46</v>
      </c>
      <c r="Z13" s="8" t="s">
        <v>33</v>
      </c>
      <c r="AA13" s="9" t="s">
        <v>34</v>
      </c>
      <c r="AB13" s="10">
        <f t="shared" si="0"/>
        <v>4.9855000000000003E-2</v>
      </c>
    </row>
    <row r="14" spans="1:28" s="4" customFormat="1" ht="13" x14ac:dyDescent="0.3">
      <c r="A14" s="5">
        <v>2552</v>
      </c>
      <c r="B14" s="6" t="s">
        <v>32</v>
      </c>
      <c r="C14" s="7">
        <v>43588</v>
      </c>
      <c r="D14" s="8">
        <v>72</v>
      </c>
      <c r="E14" s="9" t="s">
        <v>55</v>
      </c>
      <c r="F14" s="8" t="s">
        <v>89</v>
      </c>
      <c r="G14" s="9" t="s">
        <v>90</v>
      </c>
      <c r="H14" s="8" t="str">
        <f>"000052"</f>
        <v>000052</v>
      </c>
      <c r="I14" s="7">
        <v>43037</v>
      </c>
      <c r="J14" s="8" t="str">
        <f>"000078"</f>
        <v>000078</v>
      </c>
      <c r="K14" s="7">
        <v>43092</v>
      </c>
      <c r="L14" s="8" t="str">
        <f>"000289"</f>
        <v>000289</v>
      </c>
      <c r="M14" s="7">
        <v>43096</v>
      </c>
      <c r="N14" s="8">
        <v>18</v>
      </c>
      <c r="O14" s="8" t="str">
        <f>"008818"</f>
        <v>008818</v>
      </c>
      <c r="P14" s="7">
        <v>43103</v>
      </c>
      <c r="Q14" s="10">
        <v>4.2227499999999996</v>
      </c>
      <c r="R14" s="10">
        <v>0.42227999999999999</v>
      </c>
      <c r="S14" s="10">
        <v>3.8004699999999998</v>
      </c>
      <c r="T14" s="8">
        <v>34</v>
      </c>
      <c r="U14" s="7">
        <v>43588</v>
      </c>
      <c r="V14" s="8">
        <v>9538136111</v>
      </c>
      <c r="W14" s="9" t="s">
        <v>91</v>
      </c>
      <c r="X14" s="8" t="s">
        <v>39</v>
      </c>
      <c r="Y14" s="9" t="s">
        <v>40</v>
      </c>
      <c r="Z14" s="8" t="s">
        <v>33</v>
      </c>
      <c r="AA14" s="9" t="s">
        <v>34</v>
      </c>
      <c r="AB14" s="10">
        <f t="shared" si="0"/>
        <v>4.2227499999999994E-2</v>
      </c>
    </row>
    <row r="15" spans="1:28" s="4" customFormat="1" ht="13" x14ac:dyDescent="0.3">
      <c r="A15" s="5">
        <v>2553</v>
      </c>
      <c r="B15" s="6" t="s">
        <v>32</v>
      </c>
      <c r="C15" s="7">
        <v>43594</v>
      </c>
      <c r="D15" s="8">
        <v>72</v>
      </c>
      <c r="E15" s="9" t="s">
        <v>55</v>
      </c>
      <c r="F15" s="8" t="s">
        <v>61</v>
      </c>
      <c r="G15" s="9" t="s">
        <v>62</v>
      </c>
      <c r="H15" s="8" t="str">
        <f>"000067"</f>
        <v>000067</v>
      </c>
      <c r="I15" s="7">
        <v>42602</v>
      </c>
      <c r="J15" s="8" t="str">
        <f>"000223"</f>
        <v>000223</v>
      </c>
      <c r="K15" s="7">
        <v>42768</v>
      </c>
      <c r="L15" s="8" t="str">
        <f>""</f>
        <v/>
      </c>
      <c r="M15" s="7">
        <v>438</v>
      </c>
      <c r="N15" s="8">
        <v>17</v>
      </c>
      <c r="O15" s="8" t="str">
        <f>"008138"</f>
        <v>008138</v>
      </c>
      <c r="P15" s="7">
        <v>42804</v>
      </c>
      <c r="Q15" s="10">
        <v>7.5591699999999999</v>
      </c>
      <c r="R15" s="10">
        <v>0.75592000000000004</v>
      </c>
      <c r="S15" s="10">
        <v>6.8032500000000002</v>
      </c>
      <c r="T15" s="8">
        <v>40</v>
      </c>
      <c r="U15" s="7">
        <v>43594</v>
      </c>
      <c r="V15" s="8">
        <v>9538136111</v>
      </c>
      <c r="W15" s="9" t="s">
        <v>92</v>
      </c>
      <c r="X15" s="8" t="s">
        <v>45</v>
      </c>
      <c r="Y15" s="9" t="s">
        <v>46</v>
      </c>
      <c r="Z15" s="8" t="s">
        <v>33</v>
      </c>
      <c r="AA15" s="9" t="s">
        <v>34</v>
      </c>
      <c r="AB15" s="10">
        <f t="shared" si="0"/>
        <v>7.5591699999999998E-2</v>
      </c>
    </row>
    <row r="16" spans="1:28" s="4" customFormat="1" ht="13" x14ac:dyDescent="0.3">
      <c r="A16" s="5">
        <v>2554</v>
      </c>
      <c r="B16" s="6" t="s">
        <v>32</v>
      </c>
      <c r="C16" s="7">
        <v>43600</v>
      </c>
      <c r="D16" s="8">
        <v>72</v>
      </c>
      <c r="E16" s="9" t="s">
        <v>55</v>
      </c>
      <c r="F16" s="8" t="s">
        <v>93</v>
      </c>
      <c r="G16" s="9" t="s">
        <v>94</v>
      </c>
      <c r="H16" s="8" t="str">
        <f>"000472"</f>
        <v>000472</v>
      </c>
      <c r="I16" s="7">
        <v>43446</v>
      </c>
      <c r="J16" s="8" t="str">
        <f>"000280"</f>
        <v>000280</v>
      </c>
      <c r="K16" s="7">
        <v>43549</v>
      </c>
      <c r="L16" s="8" t="str">
        <f>"000029"</f>
        <v>000029</v>
      </c>
      <c r="M16" s="7">
        <v>43567</v>
      </c>
      <c r="N16" s="8">
        <v>19</v>
      </c>
      <c r="O16" s="8" t="str">
        <f>"001574"</f>
        <v>001574</v>
      </c>
      <c r="P16" s="7">
        <v>43600</v>
      </c>
      <c r="Q16" s="10">
        <v>4.08</v>
      </c>
      <c r="R16" s="10">
        <v>0.40799999999999997</v>
      </c>
      <c r="S16" s="10">
        <v>3.6720000000000002</v>
      </c>
      <c r="T16" s="8">
        <v>46</v>
      </c>
      <c r="U16" s="7">
        <v>43600</v>
      </c>
      <c r="V16" s="8">
        <v>8618239904</v>
      </c>
      <c r="W16" s="9" t="s">
        <v>38</v>
      </c>
      <c r="X16" s="8" t="s">
        <v>49</v>
      </c>
      <c r="Y16" s="9" t="s">
        <v>50</v>
      </c>
      <c r="Z16" s="8" t="s">
        <v>33</v>
      </c>
      <c r="AA16" s="9" t="s">
        <v>34</v>
      </c>
      <c r="AB16" s="10">
        <f t="shared" si="0"/>
        <v>4.0800000000000003E-2</v>
      </c>
    </row>
    <row r="17" spans="1:28" s="4" customFormat="1" ht="13" x14ac:dyDescent="0.3">
      <c r="A17" s="5">
        <v>2555</v>
      </c>
      <c r="B17" s="6" t="s">
        <v>32</v>
      </c>
      <c r="C17" s="7">
        <v>43606</v>
      </c>
      <c r="D17" s="8">
        <v>72</v>
      </c>
      <c r="E17" s="9" t="s">
        <v>55</v>
      </c>
      <c r="F17" s="8" t="s">
        <v>58</v>
      </c>
      <c r="G17" s="9" t="s">
        <v>59</v>
      </c>
      <c r="H17" s="8" t="str">
        <f>"000043"</f>
        <v>000043</v>
      </c>
      <c r="I17" s="7">
        <v>42794</v>
      </c>
      <c r="J17" s="8" t="str">
        <f>"000159"</f>
        <v>000159</v>
      </c>
      <c r="K17" s="7">
        <v>43540</v>
      </c>
      <c r="L17" s="8" t="str">
        <f>"000160"</f>
        <v>000160</v>
      </c>
      <c r="M17" s="7">
        <v>43540</v>
      </c>
      <c r="N17" s="8">
        <v>16</v>
      </c>
      <c r="O17" s="8" t="str">
        <f>"001761"</f>
        <v>001761</v>
      </c>
      <c r="P17" s="7">
        <v>43603</v>
      </c>
      <c r="Q17" s="10">
        <v>5.4715699999999998</v>
      </c>
      <c r="R17" s="10">
        <v>0.70737000000000005</v>
      </c>
      <c r="S17" s="10">
        <v>4.7641999999999998</v>
      </c>
      <c r="T17" s="8">
        <v>55</v>
      </c>
      <c r="U17" s="7">
        <v>43606</v>
      </c>
      <c r="V17" s="8">
        <v>9845021612</v>
      </c>
      <c r="W17" s="9" t="s">
        <v>60</v>
      </c>
      <c r="X17" s="8" t="s">
        <v>29</v>
      </c>
      <c r="Y17" s="9" t="s">
        <v>30</v>
      </c>
      <c r="Z17" s="8" t="s">
        <v>36</v>
      </c>
      <c r="AA17" s="9" t="s">
        <v>37</v>
      </c>
      <c r="AB17" s="10">
        <f t="shared" si="0"/>
        <v>5.4715699999999999E-2</v>
      </c>
    </row>
    <row r="18" spans="1:28" s="4" customFormat="1" ht="13" x14ac:dyDescent="0.3">
      <c r="A18" s="5">
        <v>2556</v>
      </c>
      <c r="B18" s="6" t="s">
        <v>32</v>
      </c>
      <c r="C18" s="7">
        <v>43606</v>
      </c>
      <c r="D18" s="8">
        <v>72</v>
      </c>
      <c r="E18" s="9" t="s">
        <v>55</v>
      </c>
      <c r="F18" s="8" t="s">
        <v>56</v>
      </c>
      <c r="G18" s="9" t="s">
        <v>57</v>
      </c>
      <c r="H18" s="8" t="str">
        <f>"000042"</f>
        <v>000042</v>
      </c>
      <c r="I18" s="7">
        <v>42794</v>
      </c>
      <c r="J18" s="8" t="str">
        <f>"000160"</f>
        <v>000160</v>
      </c>
      <c r="K18" s="7">
        <v>43540</v>
      </c>
      <c r="L18" s="8" t="str">
        <f>"000161"</f>
        <v>000161</v>
      </c>
      <c r="M18" s="7">
        <v>43540</v>
      </c>
      <c r="N18" s="8">
        <v>16</v>
      </c>
      <c r="O18" s="8" t="str">
        <f>"001762"</f>
        <v>001762</v>
      </c>
      <c r="P18" s="7">
        <v>43603</v>
      </c>
      <c r="Q18" s="10">
        <v>5.3181399999999996</v>
      </c>
      <c r="R18" s="10">
        <v>0.69033</v>
      </c>
      <c r="S18" s="10">
        <v>4.6278100000000002</v>
      </c>
      <c r="T18" s="8">
        <v>55</v>
      </c>
      <c r="U18" s="7">
        <v>43606</v>
      </c>
      <c r="V18" s="8">
        <v>9845021612</v>
      </c>
      <c r="W18" s="9" t="s">
        <v>35</v>
      </c>
      <c r="X18" s="8" t="s">
        <v>29</v>
      </c>
      <c r="Y18" s="9" t="s">
        <v>30</v>
      </c>
      <c r="Z18" s="8" t="s">
        <v>36</v>
      </c>
      <c r="AA18" s="9" t="s">
        <v>37</v>
      </c>
      <c r="AB18" s="10">
        <f t="shared" si="0"/>
        <v>5.3181399999999997E-2</v>
      </c>
    </row>
    <row r="19" spans="1:28" s="4" customFormat="1" ht="13" x14ac:dyDescent="0.3">
      <c r="A19" s="5">
        <v>2557</v>
      </c>
      <c r="B19" s="6" t="s">
        <v>32</v>
      </c>
      <c r="C19" s="7">
        <v>43606</v>
      </c>
      <c r="D19" s="8">
        <v>72</v>
      </c>
      <c r="E19" s="9" t="s">
        <v>55</v>
      </c>
      <c r="F19" s="8" t="s">
        <v>58</v>
      </c>
      <c r="G19" s="9" t="s">
        <v>59</v>
      </c>
      <c r="H19" s="8" t="str">
        <f>"000043"</f>
        <v>000043</v>
      </c>
      <c r="I19" s="7">
        <v>42794</v>
      </c>
      <c r="J19" s="8" t="str">
        <f>"000159"</f>
        <v>000159</v>
      </c>
      <c r="K19" s="7">
        <v>43540</v>
      </c>
      <c r="L19" s="8" t="str">
        <f>"000160"</f>
        <v>000160</v>
      </c>
      <c r="M19" s="7">
        <v>43540</v>
      </c>
      <c r="N19" s="8">
        <v>16</v>
      </c>
      <c r="O19" s="8" t="str">
        <f>"001761"</f>
        <v>001761</v>
      </c>
      <c r="P19" s="7">
        <v>43603</v>
      </c>
      <c r="Q19" s="10">
        <v>2.7357900000000002</v>
      </c>
      <c r="R19" s="10">
        <v>0.34283999999999998</v>
      </c>
      <c r="S19" s="10">
        <v>2.3929499999999999</v>
      </c>
      <c r="T19" s="8">
        <v>55</v>
      </c>
      <c r="U19" s="7">
        <v>43606</v>
      </c>
      <c r="V19" s="8">
        <v>9845695444</v>
      </c>
      <c r="W19" s="9" t="s">
        <v>64</v>
      </c>
      <c r="X19" s="8" t="s">
        <v>29</v>
      </c>
      <c r="Y19" s="9" t="s">
        <v>30</v>
      </c>
      <c r="Z19" s="8" t="s">
        <v>36</v>
      </c>
      <c r="AA19" s="9" t="s">
        <v>37</v>
      </c>
      <c r="AB19" s="10">
        <f t="shared" si="0"/>
        <v>2.7357900000000001E-2</v>
      </c>
    </row>
    <row r="20" spans="1:28" s="4" customFormat="1" ht="13" x14ac:dyDescent="0.3">
      <c r="A20" s="5">
        <v>2558</v>
      </c>
      <c r="B20" s="6" t="s">
        <v>32</v>
      </c>
      <c r="C20" s="7">
        <v>43606</v>
      </c>
      <c r="D20" s="8">
        <v>72</v>
      </c>
      <c r="E20" s="9" t="s">
        <v>55</v>
      </c>
      <c r="F20" s="8" t="s">
        <v>56</v>
      </c>
      <c r="G20" s="9" t="s">
        <v>57</v>
      </c>
      <c r="H20" s="8" t="str">
        <f>"000042"</f>
        <v>000042</v>
      </c>
      <c r="I20" s="7">
        <v>42794</v>
      </c>
      <c r="J20" s="8" t="str">
        <f>"000160"</f>
        <v>000160</v>
      </c>
      <c r="K20" s="7">
        <v>43540</v>
      </c>
      <c r="L20" s="8" t="str">
        <f>"000161"</f>
        <v>000161</v>
      </c>
      <c r="M20" s="7">
        <v>43540</v>
      </c>
      <c r="N20" s="8">
        <v>16</v>
      </c>
      <c r="O20" s="8" t="str">
        <f>"001762"</f>
        <v>001762</v>
      </c>
      <c r="P20" s="7">
        <v>43603</v>
      </c>
      <c r="Q20" s="10">
        <v>2.65917</v>
      </c>
      <c r="R20" s="10">
        <v>0.33446999999999999</v>
      </c>
      <c r="S20" s="10">
        <v>2.3247</v>
      </c>
      <c r="T20" s="8">
        <v>55</v>
      </c>
      <c r="U20" s="7">
        <v>43606</v>
      </c>
      <c r="V20" s="8">
        <v>9845695444</v>
      </c>
      <c r="W20" s="9" t="s">
        <v>65</v>
      </c>
      <c r="X20" s="8" t="s">
        <v>29</v>
      </c>
      <c r="Y20" s="9" t="s">
        <v>30</v>
      </c>
      <c r="Z20" s="8" t="s">
        <v>36</v>
      </c>
      <c r="AA20" s="9" t="s">
        <v>37</v>
      </c>
      <c r="AB20" s="10">
        <f t="shared" si="0"/>
        <v>2.6591699999999999E-2</v>
      </c>
    </row>
    <row r="21" spans="1:28" s="4" customFormat="1" ht="13" x14ac:dyDescent="0.3">
      <c r="A21" s="5">
        <v>2559</v>
      </c>
      <c r="B21" s="6" t="s">
        <v>32</v>
      </c>
      <c r="C21" s="7">
        <v>43610</v>
      </c>
      <c r="D21" s="8">
        <v>72</v>
      </c>
      <c r="E21" s="9" t="s">
        <v>55</v>
      </c>
      <c r="F21" s="8" t="s">
        <v>95</v>
      </c>
      <c r="G21" s="9" t="s">
        <v>96</v>
      </c>
      <c r="H21" s="8" t="str">
        <f>"000015"</f>
        <v>000015</v>
      </c>
      <c r="I21" s="7">
        <v>43053</v>
      </c>
      <c r="J21" s="8" t="str">
        <f>"000097"</f>
        <v>000097</v>
      </c>
      <c r="K21" s="7">
        <v>43158</v>
      </c>
      <c r="L21" s="8" t="str">
        <f>"000097"</f>
        <v>000097</v>
      </c>
      <c r="M21" s="7">
        <v>43158</v>
      </c>
      <c r="N21" s="8">
        <v>17</v>
      </c>
      <c r="O21" s="8" t="str">
        <f>"002013"</f>
        <v>002013</v>
      </c>
      <c r="P21" s="7">
        <v>43608</v>
      </c>
      <c r="Q21" s="10">
        <v>17.546880000000002</v>
      </c>
      <c r="R21" s="10">
        <v>0.71943000000000001</v>
      </c>
      <c r="S21" s="10">
        <v>16.827449999999999</v>
      </c>
      <c r="T21" s="8">
        <v>59</v>
      </c>
      <c r="U21" s="7">
        <v>43610</v>
      </c>
      <c r="V21" s="8">
        <v>9880795895</v>
      </c>
      <c r="W21" s="9" t="s">
        <v>97</v>
      </c>
      <c r="X21" s="8" t="s">
        <v>51</v>
      </c>
      <c r="Y21" s="9" t="s">
        <v>52</v>
      </c>
      <c r="Z21" s="8" t="s">
        <v>36</v>
      </c>
      <c r="AA21" s="9" t="s">
        <v>37</v>
      </c>
      <c r="AB21" s="10">
        <f t="shared" si="0"/>
        <v>0.17546880000000001</v>
      </c>
    </row>
    <row r="22" spans="1:28" s="4" customFormat="1" ht="13" x14ac:dyDescent="0.3">
      <c r="A22" s="5">
        <v>2560</v>
      </c>
      <c r="B22" s="6" t="s">
        <v>32</v>
      </c>
      <c r="C22" s="7">
        <v>43615</v>
      </c>
      <c r="D22" s="8">
        <v>72</v>
      </c>
      <c r="E22" s="9" t="s">
        <v>55</v>
      </c>
      <c r="F22" s="8" t="s">
        <v>98</v>
      </c>
      <c r="G22" s="9" t="s">
        <v>99</v>
      </c>
      <c r="H22" s="8" t="str">
        <f>"000061"</f>
        <v>000061</v>
      </c>
      <c r="I22" s="7">
        <v>43054</v>
      </c>
      <c r="J22" s="8" t="str">
        <f>"000051"</f>
        <v>000051</v>
      </c>
      <c r="K22" s="7">
        <v>43055</v>
      </c>
      <c r="L22" s="8" t="str">
        <f>"000223"</f>
        <v>000223</v>
      </c>
      <c r="M22" s="7">
        <v>43055</v>
      </c>
      <c r="N22" s="8">
        <v>17</v>
      </c>
      <c r="O22" s="8" t="str">
        <f>"002166"</f>
        <v>002166</v>
      </c>
      <c r="P22" s="7">
        <v>43613</v>
      </c>
      <c r="Q22" s="10">
        <v>196.5701</v>
      </c>
      <c r="R22" s="10">
        <v>9.22837</v>
      </c>
      <c r="S22" s="10">
        <v>187.34173000000001</v>
      </c>
      <c r="T22" s="8">
        <v>65</v>
      </c>
      <c r="U22" s="7">
        <v>43615</v>
      </c>
      <c r="V22" s="8">
        <v>9986020978</v>
      </c>
      <c r="W22" s="9" t="s">
        <v>100</v>
      </c>
      <c r="X22" s="8" t="s">
        <v>53</v>
      </c>
      <c r="Y22" s="9" t="s">
        <v>54</v>
      </c>
      <c r="Z22" s="8" t="s">
        <v>33</v>
      </c>
      <c r="AA22" s="9" t="s">
        <v>34</v>
      </c>
      <c r="AB22" s="10">
        <f t="shared" si="0"/>
        <v>1.9657009999999999</v>
      </c>
    </row>
    <row r="23" spans="1:28" s="4" customFormat="1" ht="13" x14ac:dyDescent="0.3">
      <c r="A23" s="5">
        <v>2561</v>
      </c>
      <c r="B23" s="6" t="s">
        <v>31</v>
      </c>
      <c r="C23" s="7">
        <v>43617</v>
      </c>
      <c r="D23" s="8">
        <v>72</v>
      </c>
      <c r="E23" s="9" t="s">
        <v>55</v>
      </c>
      <c r="F23" s="8" t="s">
        <v>72</v>
      </c>
      <c r="G23" s="9" t="s">
        <v>73</v>
      </c>
      <c r="H23" s="8" t="str">
        <f>"000431"</f>
        <v>000431</v>
      </c>
      <c r="I23" s="7">
        <v>43420</v>
      </c>
      <c r="J23" s="8" t="str">
        <f>"000255"</f>
        <v>000255</v>
      </c>
      <c r="K23" s="7">
        <v>43511</v>
      </c>
      <c r="L23" s="8" t="str">
        <f>"000468"</f>
        <v>000468</v>
      </c>
      <c r="M23" s="7">
        <v>43516</v>
      </c>
      <c r="N23" s="8">
        <v>19</v>
      </c>
      <c r="O23" s="8" t="str">
        <f>"001919"</f>
        <v>001919</v>
      </c>
      <c r="P23" s="7">
        <v>43607</v>
      </c>
      <c r="Q23" s="10">
        <v>88.469080000000005</v>
      </c>
      <c r="R23" s="10">
        <v>9.9469799999999999</v>
      </c>
      <c r="S23" s="10">
        <v>78.522099999999995</v>
      </c>
      <c r="T23" s="8">
        <v>67</v>
      </c>
      <c r="U23" s="7">
        <v>43617</v>
      </c>
      <c r="V23" s="8">
        <v>9845235505</v>
      </c>
      <c r="W23" s="9" t="s">
        <v>48</v>
      </c>
      <c r="X23" s="8" t="s">
        <v>41</v>
      </c>
      <c r="Y23" s="9" t="s">
        <v>42</v>
      </c>
      <c r="Z23" s="8" t="s">
        <v>33</v>
      </c>
      <c r="AA23" s="9" t="s">
        <v>34</v>
      </c>
      <c r="AB23" s="10">
        <v>0.8846908</v>
      </c>
    </row>
    <row r="24" spans="1:28" s="4" customFormat="1" ht="13" x14ac:dyDescent="0.3">
      <c r="A24" s="5">
        <v>2562</v>
      </c>
      <c r="B24" s="6" t="s">
        <v>31</v>
      </c>
      <c r="C24" s="7">
        <v>43617</v>
      </c>
      <c r="D24" s="8">
        <v>72</v>
      </c>
      <c r="E24" s="9" t="s">
        <v>55</v>
      </c>
      <c r="F24" s="8" t="s">
        <v>74</v>
      </c>
      <c r="G24" s="9" t="s">
        <v>75</v>
      </c>
      <c r="H24" s="8" t="str">
        <f>"000433"</f>
        <v>000433</v>
      </c>
      <c r="I24" s="7">
        <v>43420</v>
      </c>
      <c r="J24" s="8" t="str">
        <f>"000254"</f>
        <v>000254</v>
      </c>
      <c r="K24" s="7">
        <v>43511</v>
      </c>
      <c r="L24" s="8" t="str">
        <f>"000469"</f>
        <v>000469</v>
      </c>
      <c r="M24" s="7">
        <v>43516</v>
      </c>
      <c r="N24" s="8">
        <v>19</v>
      </c>
      <c r="O24" s="8" t="str">
        <f>"001920"</f>
        <v>001920</v>
      </c>
      <c r="P24" s="7">
        <v>43607</v>
      </c>
      <c r="Q24" s="10">
        <v>88.457710000000006</v>
      </c>
      <c r="R24" s="10">
        <v>10.04697</v>
      </c>
      <c r="S24" s="10">
        <v>78.410740000000004</v>
      </c>
      <c r="T24" s="8">
        <v>67</v>
      </c>
      <c r="U24" s="7">
        <v>43617</v>
      </c>
      <c r="V24" s="8">
        <v>9845235505</v>
      </c>
      <c r="W24" s="9" t="s">
        <v>48</v>
      </c>
      <c r="X24" s="8" t="s">
        <v>41</v>
      </c>
      <c r="Y24" s="9" t="s">
        <v>42</v>
      </c>
      <c r="Z24" s="8" t="s">
        <v>33</v>
      </c>
      <c r="AA24" s="9" t="s">
        <v>34</v>
      </c>
      <c r="AB24" s="10">
        <v>0.88457710000000001</v>
      </c>
    </row>
    <row r="25" spans="1:28" s="4" customFormat="1" ht="13" x14ac:dyDescent="0.3">
      <c r="A25" s="5">
        <v>2563</v>
      </c>
      <c r="B25" s="6" t="s">
        <v>31</v>
      </c>
      <c r="C25" s="7">
        <v>43617</v>
      </c>
      <c r="D25" s="8">
        <v>72</v>
      </c>
      <c r="E25" s="9" t="s">
        <v>55</v>
      </c>
      <c r="F25" s="8" t="s">
        <v>76</v>
      </c>
      <c r="G25" s="9" t="s">
        <v>77</v>
      </c>
      <c r="H25" s="8" t="str">
        <f>"000434"</f>
        <v>000434</v>
      </c>
      <c r="I25" s="7">
        <v>43420</v>
      </c>
      <c r="J25" s="8" t="str">
        <f>"000256"</f>
        <v>000256</v>
      </c>
      <c r="K25" s="7">
        <v>43511</v>
      </c>
      <c r="L25" s="8" t="str">
        <f>"000470"</f>
        <v>000470</v>
      </c>
      <c r="M25" s="7">
        <v>43516</v>
      </c>
      <c r="N25" s="8">
        <v>19</v>
      </c>
      <c r="O25" s="8" t="str">
        <f>"001921"</f>
        <v>001921</v>
      </c>
      <c r="P25" s="7">
        <v>43607</v>
      </c>
      <c r="Q25" s="10">
        <v>88.460949999999997</v>
      </c>
      <c r="R25" s="10">
        <v>9.9179899999999996</v>
      </c>
      <c r="S25" s="10">
        <v>78.542959999999994</v>
      </c>
      <c r="T25" s="8">
        <v>67</v>
      </c>
      <c r="U25" s="7">
        <v>43617</v>
      </c>
      <c r="V25" s="8">
        <v>9845235505</v>
      </c>
      <c r="W25" s="9" t="s">
        <v>48</v>
      </c>
      <c r="X25" s="8" t="s">
        <v>41</v>
      </c>
      <c r="Y25" s="9" t="s">
        <v>42</v>
      </c>
      <c r="Z25" s="8" t="s">
        <v>33</v>
      </c>
      <c r="AA25" s="9" t="s">
        <v>34</v>
      </c>
      <c r="AB25" s="10">
        <v>0.88460949999999994</v>
      </c>
    </row>
    <row r="26" spans="1:28" s="4" customFormat="1" ht="13" x14ac:dyDescent="0.3">
      <c r="A26" s="5">
        <v>2564</v>
      </c>
      <c r="B26" s="6" t="s">
        <v>31</v>
      </c>
      <c r="C26" s="7">
        <v>43628</v>
      </c>
      <c r="D26" s="8">
        <v>72</v>
      </c>
      <c r="E26" s="9" t="s">
        <v>55</v>
      </c>
      <c r="F26" s="8" t="s">
        <v>78</v>
      </c>
      <c r="G26" s="9" t="s">
        <v>79</v>
      </c>
      <c r="H26" s="8" t="str">
        <f>"000012"</f>
        <v>000012</v>
      </c>
      <c r="I26" s="7">
        <v>42993</v>
      </c>
      <c r="J26" s="8" t="str">
        <f>"000062"</f>
        <v>000062</v>
      </c>
      <c r="K26" s="7">
        <v>43066</v>
      </c>
      <c r="L26" s="8" t="str">
        <f>"000271"</f>
        <v>000271</v>
      </c>
      <c r="M26" s="7">
        <v>43090</v>
      </c>
      <c r="N26" s="8">
        <v>18</v>
      </c>
      <c r="O26" s="8" t="str">
        <f>"002595"</f>
        <v>002595</v>
      </c>
      <c r="P26" s="7">
        <v>43627</v>
      </c>
      <c r="Q26" s="10">
        <v>5.9523200000000003</v>
      </c>
      <c r="R26" s="10">
        <v>0.60118000000000005</v>
      </c>
      <c r="S26" s="10">
        <v>5.35114</v>
      </c>
      <c r="T26" s="8">
        <v>76</v>
      </c>
      <c r="U26" s="7">
        <v>43628</v>
      </c>
      <c r="V26" s="8">
        <v>9845235505</v>
      </c>
      <c r="W26" s="9" t="s">
        <v>80</v>
      </c>
      <c r="X26" s="8" t="s">
        <v>81</v>
      </c>
      <c r="Y26" s="9" t="s">
        <v>82</v>
      </c>
      <c r="Z26" s="8" t="s">
        <v>33</v>
      </c>
      <c r="AA26" s="9" t="s">
        <v>34</v>
      </c>
      <c r="AB26" s="10">
        <v>5.9523200000000005E-2</v>
      </c>
    </row>
    <row r="27" spans="1:28" s="4" customFormat="1" ht="13" x14ac:dyDescent="0.3">
      <c r="A27" s="5">
        <v>2565</v>
      </c>
      <c r="B27" s="6" t="s">
        <v>31</v>
      </c>
      <c r="C27" s="7">
        <v>43628</v>
      </c>
      <c r="D27" s="8">
        <v>72</v>
      </c>
      <c r="E27" s="9" t="s">
        <v>55</v>
      </c>
      <c r="F27" s="8" t="s">
        <v>72</v>
      </c>
      <c r="G27" s="9" t="s">
        <v>73</v>
      </c>
      <c r="H27" s="8" t="str">
        <f>"000431"</f>
        <v>000431</v>
      </c>
      <c r="I27" s="7">
        <v>43420</v>
      </c>
      <c r="J27" s="8" t="str">
        <f>"000255"</f>
        <v>000255</v>
      </c>
      <c r="K27" s="7">
        <v>43511</v>
      </c>
      <c r="L27" s="8" t="str">
        <f>"000468"</f>
        <v>000468</v>
      </c>
      <c r="M27" s="7">
        <v>43516</v>
      </c>
      <c r="N27" s="8">
        <v>19</v>
      </c>
      <c r="O27" s="8" t="str">
        <f>"001919"</f>
        <v>001919</v>
      </c>
      <c r="P27" s="7">
        <v>43607</v>
      </c>
      <c r="Q27" s="10">
        <v>2.9315899999999999</v>
      </c>
      <c r="R27" s="10">
        <v>0.29315999999999998</v>
      </c>
      <c r="S27" s="10">
        <v>2.6384300000000001</v>
      </c>
      <c r="T27" s="8">
        <v>77</v>
      </c>
      <c r="U27" s="7">
        <v>43628</v>
      </c>
      <c r="V27" s="8">
        <v>9538136111</v>
      </c>
      <c r="W27" s="9" t="s">
        <v>43</v>
      </c>
      <c r="X27" s="8" t="s">
        <v>41</v>
      </c>
      <c r="Y27" s="9" t="s">
        <v>42</v>
      </c>
      <c r="Z27" s="8" t="s">
        <v>33</v>
      </c>
      <c r="AA27" s="9" t="s">
        <v>34</v>
      </c>
      <c r="AB27" s="10">
        <v>2.9315899999999999E-2</v>
      </c>
    </row>
    <row r="28" spans="1:28" s="4" customFormat="1" ht="13" x14ac:dyDescent="0.3">
      <c r="A28" s="5">
        <v>2566</v>
      </c>
      <c r="B28" s="6" t="s">
        <v>31</v>
      </c>
      <c r="C28" s="7">
        <v>43628</v>
      </c>
      <c r="D28" s="8">
        <v>72</v>
      </c>
      <c r="E28" s="9" t="s">
        <v>55</v>
      </c>
      <c r="F28" s="8" t="s">
        <v>70</v>
      </c>
      <c r="G28" s="9" t="s">
        <v>71</v>
      </c>
      <c r="H28" s="8" t="str">
        <f>"000118"</f>
        <v>000118</v>
      </c>
      <c r="I28" s="7">
        <v>43243</v>
      </c>
      <c r="J28" s="8" t="str">
        <f>"000005"</f>
        <v>000005</v>
      </c>
      <c r="K28" s="7">
        <v>43559</v>
      </c>
      <c r="L28" s="8" t="str">
        <f>"000010"</f>
        <v>000010</v>
      </c>
      <c r="M28" s="7">
        <v>43562</v>
      </c>
      <c r="N28" s="8">
        <v>18</v>
      </c>
      <c r="O28" s="8" t="str">
        <f>"002399"</f>
        <v>002399</v>
      </c>
      <c r="P28" s="7">
        <v>43619</v>
      </c>
      <c r="Q28" s="10">
        <v>1.4910000000000001</v>
      </c>
      <c r="R28" s="10">
        <v>0.14910000000000001</v>
      </c>
      <c r="S28" s="10">
        <v>1.3419000000000001</v>
      </c>
      <c r="T28" s="8">
        <v>77</v>
      </c>
      <c r="U28" s="7">
        <v>43628</v>
      </c>
      <c r="V28" s="8">
        <v>9538136111</v>
      </c>
      <c r="W28" s="9" t="s">
        <v>43</v>
      </c>
      <c r="X28" s="8" t="s">
        <v>41</v>
      </c>
      <c r="Y28" s="9" t="s">
        <v>42</v>
      </c>
      <c r="Z28" s="8" t="s">
        <v>33</v>
      </c>
      <c r="AA28" s="9" t="s">
        <v>34</v>
      </c>
      <c r="AB28" s="10">
        <v>1.4910000000000001E-2</v>
      </c>
    </row>
    <row r="29" spans="1:28" s="4" customFormat="1" ht="13" x14ac:dyDescent="0.3">
      <c r="A29" s="5">
        <v>2567</v>
      </c>
      <c r="B29" s="6" t="s">
        <v>31</v>
      </c>
      <c r="C29" s="7">
        <v>43628</v>
      </c>
      <c r="D29" s="8">
        <v>72</v>
      </c>
      <c r="E29" s="9" t="s">
        <v>55</v>
      </c>
      <c r="F29" s="8" t="s">
        <v>70</v>
      </c>
      <c r="G29" s="9" t="s">
        <v>71</v>
      </c>
      <c r="H29" s="8" t="str">
        <f>"000118"</f>
        <v>000118</v>
      </c>
      <c r="I29" s="7">
        <v>43243</v>
      </c>
      <c r="J29" s="8" t="str">
        <f>"000005"</f>
        <v>000005</v>
      </c>
      <c r="K29" s="7">
        <v>43559</v>
      </c>
      <c r="L29" s="8" t="str">
        <f>"000010"</f>
        <v>000010</v>
      </c>
      <c r="M29" s="7">
        <v>43562</v>
      </c>
      <c r="N29" s="8">
        <v>18</v>
      </c>
      <c r="O29" s="8" t="str">
        <f>"002399"</f>
        <v>002399</v>
      </c>
      <c r="P29" s="7">
        <v>43619</v>
      </c>
      <c r="Q29" s="10">
        <v>1.4867999999999999</v>
      </c>
      <c r="R29" s="10">
        <v>0.14868000000000001</v>
      </c>
      <c r="S29" s="10">
        <v>1.33812</v>
      </c>
      <c r="T29" s="8">
        <v>77</v>
      </c>
      <c r="U29" s="7">
        <v>43628</v>
      </c>
      <c r="V29" s="8">
        <v>8618239904</v>
      </c>
      <c r="W29" s="9" t="s">
        <v>38</v>
      </c>
      <c r="X29" s="8" t="s">
        <v>41</v>
      </c>
      <c r="Y29" s="9" t="s">
        <v>42</v>
      </c>
      <c r="Z29" s="8" t="s">
        <v>33</v>
      </c>
      <c r="AA29" s="9" t="s">
        <v>34</v>
      </c>
      <c r="AB29" s="10">
        <v>1.4867999999999999E-2</v>
      </c>
    </row>
    <row r="30" spans="1:28" s="4" customFormat="1" ht="13" x14ac:dyDescent="0.3">
      <c r="A30" s="5">
        <v>2568</v>
      </c>
      <c r="B30" s="6" t="s">
        <v>31</v>
      </c>
      <c r="C30" s="7">
        <v>43633</v>
      </c>
      <c r="D30" s="8">
        <v>72</v>
      </c>
      <c r="E30" s="9" t="s">
        <v>55</v>
      </c>
      <c r="F30" s="8" t="s">
        <v>83</v>
      </c>
      <c r="G30" s="9" t="s">
        <v>84</v>
      </c>
      <c r="H30" s="8" t="str">
        <f>"000584"</f>
        <v>000584</v>
      </c>
      <c r="I30" s="7">
        <v>43532</v>
      </c>
      <c r="J30" s="8" t="str">
        <f>"000018"</f>
        <v>000018</v>
      </c>
      <c r="K30" s="7">
        <v>43615</v>
      </c>
      <c r="L30" s="8" t="str">
        <f>"000047"</f>
        <v>000047</v>
      </c>
      <c r="M30" s="7">
        <v>43616</v>
      </c>
      <c r="N30" s="8">
        <v>19</v>
      </c>
      <c r="O30" s="8" t="str">
        <f>"002749"</f>
        <v>002749</v>
      </c>
      <c r="P30" s="7">
        <v>43630</v>
      </c>
      <c r="Q30" s="10">
        <v>96.388140000000007</v>
      </c>
      <c r="R30" s="10">
        <v>9.3917400000000004</v>
      </c>
      <c r="S30" s="10">
        <v>86.996399999999994</v>
      </c>
      <c r="T30" s="8">
        <v>84</v>
      </c>
      <c r="U30" s="7">
        <v>43633</v>
      </c>
      <c r="V30" s="8">
        <v>9448158245</v>
      </c>
      <c r="W30" s="9" t="s">
        <v>44</v>
      </c>
      <c r="X30" s="8" t="s">
        <v>39</v>
      </c>
      <c r="Y30" s="9" t="s">
        <v>40</v>
      </c>
      <c r="Z30" s="8" t="s">
        <v>33</v>
      </c>
      <c r="AA30" s="9" t="s">
        <v>34</v>
      </c>
      <c r="AB30" s="10">
        <v>0.96388140000000011</v>
      </c>
    </row>
    <row r="31" spans="1:28" s="4" customFormat="1" ht="13" x14ac:dyDescent="0.3">
      <c r="A31" s="5">
        <v>2569</v>
      </c>
      <c r="B31" s="6" t="s">
        <v>101</v>
      </c>
      <c r="C31" s="7">
        <v>43664</v>
      </c>
      <c r="D31" s="8">
        <v>72</v>
      </c>
      <c r="E31" s="9" t="s">
        <v>55</v>
      </c>
      <c r="F31" s="8" t="s">
        <v>102</v>
      </c>
      <c r="G31" s="11" t="s">
        <v>103</v>
      </c>
      <c r="H31" s="8" t="str">
        <f>"000394"</f>
        <v>000394</v>
      </c>
      <c r="I31" s="7">
        <v>43191</v>
      </c>
      <c r="J31" s="8" t="str">
        <f>"000094"</f>
        <v>000094</v>
      </c>
      <c r="K31" s="7">
        <v>43286</v>
      </c>
      <c r="L31" s="8" t="str">
        <f>"000236"</f>
        <v>000236</v>
      </c>
      <c r="M31" s="7">
        <v>43288</v>
      </c>
      <c r="N31" s="8">
        <v>18</v>
      </c>
      <c r="O31" s="8" t="str">
        <f>"003477"</f>
        <v>003477</v>
      </c>
      <c r="P31" s="7">
        <v>43662</v>
      </c>
      <c r="Q31" s="12">
        <v>98.21302</v>
      </c>
      <c r="R31" s="12">
        <v>9.91953</v>
      </c>
      <c r="S31" s="12">
        <v>88.293490000000006</v>
      </c>
      <c r="T31" s="8">
        <v>116</v>
      </c>
      <c r="U31" s="7">
        <v>43664</v>
      </c>
      <c r="V31" s="8">
        <v>9845235505</v>
      </c>
      <c r="W31" s="11" t="s">
        <v>48</v>
      </c>
      <c r="X31" s="8" t="s">
        <v>104</v>
      </c>
      <c r="Y31" s="11" t="s">
        <v>105</v>
      </c>
      <c r="Z31" s="8" t="s">
        <v>33</v>
      </c>
      <c r="AA31" s="11" t="s">
        <v>34</v>
      </c>
      <c r="AB31" s="12">
        <f t="shared" ref="AB31:AB46" si="1">Q31/100</f>
        <v>0.98213019999999995</v>
      </c>
    </row>
    <row r="32" spans="1:28" s="4" customFormat="1" ht="13" x14ac:dyDescent="0.3">
      <c r="A32" s="5">
        <v>2570</v>
      </c>
      <c r="B32" s="6" t="s">
        <v>101</v>
      </c>
      <c r="C32" s="7">
        <v>43668</v>
      </c>
      <c r="D32" s="8">
        <v>72</v>
      </c>
      <c r="E32" s="9" t="s">
        <v>55</v>
      </c>
      <c r="F32" s="8" t="s">
        <v>93</v>
      </c>
      <c r="G32" s="11" t="s">
        <v>94</v>
      </c>
      <c r="H32" s="8" t="str">
        <f>"000472"</f>
        <v>000472</v>
      </c>
      <c r="I32" s="7">
        <v>43446</v>
      </c>
      <c r="J32" s="8" t="str">
        <f>"000280"</f>
        <v>000280</v>
      </c>
      <c r="K32" s="7">
        <v>43549</v>
      </c>
      <c r="L32" s="8" t="str">
        <f>"000029"</f>
        <v>000029</v>
      </c>
      <c r="M32" s="7">
        <v>43567</v>
      </c>
      <c r="N32" s="8">
        <v>19</v>
      </c>
      <c r="O32" s="8" t="str">
        <f>"001574"</f>
        <v>001574</v>
      </c>
      <c r="P32" s="7">
        <v>43600</v>
      </c>
      <c r="Q32" s="12">
        <v>379.60543999999999</v>
      </c>
      <c r="R32" s="12">
        <v>33.730640000000001</v>
      </c>
      <c r="S32" s="12">
        <v>345.87479999999999</v>
      </c>
      <c r="T32" s="8">
        <v>119</v>
      </c>
      <c r="U32" s="7">
        <v>43668</v>
      </c>
      <c r="V32" s="8">
        <v>9448158245</v>
      </c>
      <c r="W32" s="11" t="s">
        <v>44</v>
      </c>
      <c r="X32" s="8" t="s">
        <v>49</v>
      </c>
      <c r="Y32" s="11" t="s">
        <v>50</v>
      </c>
      <c r="Z32" s="8" t="s">
        <v>33</v>
      </c>
      <c r="AA32" s="11" t="s">
        <v>34</v>
      </c>
      <c r="AB32" s="12">
        <f t="shared" si="1"/>
        <v>3.7960544000000001</v>
      </c>
    </row>
    <row r="33" spans="1:28" s="4" customFormat="1" ht="13" x14ac:dyDescent="0.3">
      <c r="A33" s="5">
        <v>2571</v>
      </c>
      <c r="B33" s="6" t="s">
        <v>101</v>
      </c>
      <c r="C33" s="7">
        <v>43669</v>
      </c>
      <c r="D33" s="8">
        <v>72</v>
      </c>
      <c r="E33" s="9" t="s">
        <v>55</v>
      </c>
      <c r="F33" s="8" t="s">
        <v>106</v>
      </c>
      <c r="G33" s="11" t="s">
        <v>107</v>
      </c>
      <c r="H33" s="8" t="str">
        <f>"000148"</f>
        <v>000148</v>
      </c>
      <c r="I33" s="7">
        <v>43090</v>
      </c>
      <c r="J33" s="8" t="str">
        <f>"000005"</f>
        <v>000005</v>
      </c>
      <c r="K33" s="7">
        <v>43199</v>
      </c>
      <c r="L33" s="8" t="str">
        <f>"000043"</f>
        <v>000043</v>
      </c>
      <c r="M33" s="7">
        <v>43207</v>
      </c>
      <c r="N33" s="8">
        <v>18</v>
      </c>
      <c r="O33" s="8" t="str">
        <f>"005266"</f>
        <v>005266</v>
      </c>
      <c r="P33" s="7">
        <v>43728</v>
      </c>
      <c r="Q33" s="12">
        <v>254.21271999999999</v>
      </c>
      <c r="R33" s="12">
        <v>5.7884700000000002</v>
      </c>
      <c r="S33" s="12">
        <v>248.42425</v>
      </c>
      <c r="T33" s="8">
        <v>122</v>
      </c>
      <c r="U33" s="7">
        <v>43669</v>
      </c>
      <c r="V33" s="8">
        <v>9731449749</v>
      </c>
      <c r="W33" s="11" t="s">
        <v>108</v>
      </c>
      <c r="X33" s="8" t="s">
        <v>104</v>
      </c>
      <c r="Y33" s="11" t="s">
        <v>105</v>
      </c>
      <c r="Z33" s="8" t="s">
        <v>33</v>
      </c>
      <c r="AA33" s="11" t="s">
        <v>34</v>
      </c>
      <c r="AB33" s="12">
        <f t="shared" si="1"/>
        <v>2.5421271999999999</v>
      </c>
    </row>
    <row r="34" spans="1:28" s="4" customFormat="1" ht="13" x14ac:dyDescent="0.3">
      <c r="A34" s="5">
        <v>2572</v>
      </c>
      <c r="B34" s="6" t="s">
        <v>101</v>
      </c>
      <c r="C34" s="7">
        <v>43670</v>
      </c>
      <c r="D34" s="8">
        <v>72</v>
      </c>
      <c r="E34" s="9" t="s">
        <v>55</v>
      </c>
      <c r="F34" s="8" t="s">
        <v>58</v>
      </c>
      <c r="G34" s="11" t="s">
        <v>59</v>
      </c>
      <c r="H34" s="8" t="str">
        <f>"000043"</f>
        <v>000043</v>
      </c>
      <c r="I34" s="7">
        <v>42794</v>
      </c>
      <c r="J34" s="8" t="str">
        <f>"000033"</f>
        <v>000033</v>
      </c>
      <c r="K34" s="7">
        <v>43073</v>
      </c>
      <c r="L34" s="8" t="str">
        <f>"000032"</f>
        <v>000032</v>
      </c>
      <c r="M34" s="7">
        <v>43074</v>
      </c>
      <c r="N34" s="8">
        <v>16</v>
      </c>
      <c r="O34" s="8" t="str">
        <f>"003569"</f>
        <v>003569</v>
      </c>
      <c r="P34" s="7">
        <v>43292</v>
      </c>
      <c r="Q34" s="12">
        <v>2.7357900000000002</v>
      </c>
      <c r="R34" s="12">
        <v>0.34283000000000002</v>
      </c>
      <c r="S34" s="12">
        <v>2.39296</v>
      </c>
      <c r="T34" s="8">
        <v>123</v>
      </c>
      <c r="U34" s="7">
        <v>43670</v>
      </c>
      <c r="V34" s="8">
        <v>9845695444</v>
      </c>
      <c r="W34" s="11" t="s">
        <v>64</v>
      </c>
      <c r="X34" s="8" t="s">
        <v>29</v>
      </c>
      <c r="Y34" s="11" t="s">
        <v>30</v>
      </c>
      <c r="Z34" s="8" t="s">
        <v>36</v>
      </c>
      <c r="AA34" s="11" t="s">
        <v>37</v>
      </c>
      <c r="AB34" s="12">
        <f t="shared" si="1"/>
        <v>2.7357900000000001E-2</v>
      </c>
    </row>
    <row r="35" spans="1:28" s="4" customFormat="1" ht="13" x14ac:dyDescent="0.3">
      <c r="A35" s="5">
        <v>2573</v>
      </c>
      <c r="B35" s="6" t="s">
        <v>101</v>
      </c>
      <c r="C35" s="7">
        <v>43670</v>
      </c>
      <c r="D35" s="8">
        <v>72</v>
      </c>
      <c r="E35" s="9" t="s">
        <v>55</v>
      </c>
      <c r="F35" s="8" t="s">
        <v>56</v>
      </c>
      <c r="G35" s="11" t="s">
        <v>57</v>
      </c>
      <c r="H35" s="8" t="str">
        <f>"000042"</f>
        <v>000042</v>
      </c>
      <c r="I35" s="7">
        <v>42794</v>
      </c>
      <c r="J35" s="8" t="str">
        <f>"000032"</f>
        <v>000032</v>
      </c>
      <c r="K35" s="7">
        <v>43073</v>
      </c>
      <c r="L35" s="8" t="str">
        <f>"000039"</f>
        <v>000039</v>
      </c>
      <c r="M35" s="7">
        <v>43074</v>
      </c>
      <c r="N35" s="8">
        <v>16</v>
      </c>
      <c r="O35" s="8" t="str">
        <f>"003575"</f>
        <v>003575</v>
      </c>
      <c r="P35" s="7">
        <v>43292</v>
      </c>
      <c r="Q35" s="12">
        <v>2.65917</v>
      </c>
      <c r="R35" s="12">
        <v>0.33446999999999999</v>
      </c>
      <c r="S35" s="12">
        <v>2.3247</v>
      </c>
      <c r="T35" s="8">
        <v>123</v>
      </c>
      <c r="U35" s="7">
        <v>43670</v>
      </c>
      <c r="V35" s="8">
        <v>9845695444</v>
      </c>
      <c r="W35" s="11" t="s">
        <v>65</v>
      </c>
      <c r="X35" s="8" t="s">
        <v>29</v>
      </c>
      <c r="Y35" s="11" t="s">
        <v>30</v>
      </c>
      <c r="Z35" s="8" t="s">
        <v>36</v>
      </c>
      <c r="AA35" s="11" t="s">
        <v>37</v>
      </c>
      <c r="AB35" s="12">
        <f t="shared" si="1"/>
        <v>2.6591699999999999E-2</v>
      </c>
    </row>
    <row r="36" spans="1:28" s="4" customFormat="1" ht="13" x14ac:dyDescent="0.3">
      <c r="A36" s="5">
        <v>2574</v>
      </c>
      <c r="B36" s="6" t="s">
        <v>101</v>
      </c>
      <c r="C36" s="7">
        <v>43672</v>
      </c>
      <c r="D36" s="8">
        <v>72</v>
      </c>
      <c r="E36" s="9" t="s">
        <v>55</v>
      </c>
      <c r="F36" s="8" t="s">
        <v>72</v>
      </c>
      <c r="G36" s="11" t="s">
        <v>109</v>
      </c>
      <c r="H36" s="8" t="str">
        <f>"000431"</f>
        <v>000431</v>
      </c>
      <c r="I36" s="7">
        <v>43420</v>
      </c>
      <c r="J36" s="8" t="str">
        <f>"000255"</f>
        <v>000255</v>
      </c>
      <c r="K36" s="7">
        <v>43511</v>
      </c>
      <c r="L36" s="8" t="str">
        <f>"000468"</f>
        <v>000468</v>
      </c>
      <c r="M36" s="7">
        <v>43516</v>
      </c>
      <c r="N36" s="8">
        <v>19</v>
      </c>
      <c r="O36" s="8" t="str">
        <f>"001919"</f>
        <v>001919</v>
      </c>
      <c r="P36" s="7">
        <v>43607</v>
      </c>
      <c r="Q36" s="12">
        <v>4.7220000000000004</v>
      </c>
      <c r="R36" s="12">
        <v>0.47220000000000001</v>
      </c>
      <c r="S36" s="12">
        <v>4.2497999999999996</v>
      </c>
      <c r="T36" s="8">
        <v>127</v>
      </c>
      <c r="U36" s="7">
        <v>43672</v>
      </c>
      <c r="V36" s="8">
        <v>8618239904</v>
      </c>
      <c r="W36" s="11" t="s">
        <v>38</v>
      </c>
      <c r="X36" s="8" t="s">
        <v>41</v>
      </c>
      <c r="Y36" s="11" t="s">
        <v>42</v>
      </c>
      <c r="Z36" s="8" t="s">
        <v>33</v>
      </c>
      <c r="AA36" s="11" t="s">
        <v>34</v>
      </c>
      <c r="AB36" s="12">
        <f t="shared" si="1"/>
        <v>4.7220000000000005E-2</v>
      </c>
    </row>
    <row r="37" spans="1:28" s="4" customFormat="1" ht="13" x14ac:dyDescent="0.3">
      <c r="A37" s="5">
        <v>2575</v>
      </c>
      <c r="B37" s="6" t="s">
        <v>101</v>
      </c>
      <c r="C37" s="7">
        <v>43672</v>
      </c>
      <c r="D37" s="8">
        <v>72</v>
      </c>
      <c r="E37" s="9" t="s">
        <v>55</v>
      </c>
      <c r="F37" s="8" t="s">
        <v>110</v>
      </c>
      <c r="G37" s="11" t="s">
        <v>111</v>
      </c>
      <c r="H37" s="8" t="str">
        <f>"000432"</f>
        <v>000432</v>
      </c>
      <c r="I37" s="7">
        <v>43420</v>
      </c>
      <c r="J37" s="8" t="str">
        <f>"000025"</f>
        <v>000025</v>
      </c>
      <c r="K37" s="7">
        <v>43634</v>
      </c>
      <c r="L37" s="8" t="str">
        <f>"000083"</f>
        <v>000083</v>
      </c>
      <c r="M37" s="7">
        <v>43634</v>
      </c>
      <c r="N37" s="8">
        <v>19</v>
      </c>
      <c r="O37" s="8" t="str">
        <f>"003837"</f>
        <v>003837</v>
      </c>
      <c r="P37" s="7">
        <v>43665</v>
      </c>
      <c r="Q37" s="12">
        <v>88.462440000000001</v>
      </c>
      <c r="R37" s="12">
        <v>9.6791199999999993</v>
      </c>
      <c r="S37" s="12">
        <v>78.783320000000003</v>
      </c>
      <c r="T37" s="8">
        <v>127</v>
      </c>
      <c r="U37" s="7">
        <v>43672</v>
      </c>
      <c r="V37" s="8">
        <v>9845235505</v>
      </c>
      <c r="W37" s="11" t="s">
        <v>48</v>
      </c>
      <c r="X37" s="8" t="s">
        <v>41</v>
      </c>
      <c r="Y37" s="11" t="s">
        <v>42</v>
      </c>
      <c r="Z37" s="8" t="s">
        <v>33</v>
      </c>
      <c r="AA37" s="11" t="s">
        <v>34</v>
      </c>
      <c r="AB37" s="12">
        <f t="shared" si="1"/>
        <v>0.88462439999999998</v>
      </c>
    </row>
    <row r="38" spans="1:28" s="4" customFormat="1" ht="13" x14ac:dyDescent="0.3">
      <c r="A38" s="5">
        <v>2576</v>
      </c>
      <c r="B38" s="6" t="s">
        <v>101</v>
      </c>
      <c r="C38" s="7">
        <v>43672</v>
      </c>
      <c r="D38" s="8">
        <v>72</v>
      </c>
      <c r="E38" s="9" t="s">
        <v>55</v>
      </c>
      <c r="F38" s="8" t="s">
        <v>112</v>
      </c>
      <c r="G38" s="11" t="s">
        <v>113</v>
      </c>
      <c r="H38" s="8" t="str">
        <f>"000399"</f>
        <v>000399</v>
      </c>
      <c r="I38" s="7">
        <v>43376</v>
      </c>
      <c r="J38" s="8" t="str">
        <f>"000026"</f>
        <v>000026</v>
      </c>
      <c r="K38" s="7">
        <v>43634</v>
      </c>
      <c r="L38" s="8" t="str">
        <f>"000082"</f>
        <v>000082</v>
      </c>
      <c r="M38" s="7">
        <v>43634</v>
      </c>
      <c r="N38" s="8">
        <v>18</v>
      </c>
      <c r="O38" s="8" t="str">
        <f>"003943"</f>
        <v>003943</v>
      </c>
      <c r="P38" s="7">
        <v>43670</v>
      </c>
      <c r="Q38" s="12">
        <v>49.988979999999998</v>
      </c>
      <c r="R38" s="12">
        <v>5.4258800000000003</v>
      </c>
      <c r="S38" s="12">
        <v>44.563099999999999</v>
      </c>
      <c r="T38" s="8">
        <v>128</v>
      </c>
      <c r="U38" s="7">
        <v>43672</v>
      </c>
      <c r="V38" s="8">
        <v>9845235505</v>
      </c>
      <c r="W38" s="11" t="s">
        <v>48</v>
      </c>
      <c r="X38" s="8" t="s">
        <v>114</v>
      </c>
      <c r="Y38" s="11" t="s">
        <v>115</v>
      </c>
      <c r="Z38" s="8" t="s">
        <v>33</v>
      </c>
      <c r="AA38" s="11" t="s">
        <v>34</v>
      </c>
      <c r="AB38" s="12">
        <f t="shared" si="1"/>
        <v>0.4998898</v>
      </c>
    </row>
    <row r="39" spans="1:28" s="4" customFormat="1" ht="13" x14ac:dyDescent="0.3">
      <c r="A39" s="5">
        <v>2577</v>
      </c>
      <c r="B39" s="6" t="s">
        <v>101</v>
      </c>
      <c r="C39" s="7">
        <v>43677</v>
      </c>
      <c r="D39" s="8">
        <v>72</v>
      </c>
      <c r="E39" s="9" t="s">
        <v>55</v>
      </c>
      <c r="F39" s="8" t="s">
        <v>116</v>
      </c>
      <c r="G39" s="11" t="s">
        <v>117</v>
      </c>
      <c r="H39" s="8" t="str">
        <f>"000112"</f>
        <v>000112</v>
      </c>
      <c r="I39" s="7">
        <v>43191</v>
      </c>
      <c r="J39" s="8" t="str">
        <f>"000101"</f>
        <v>000101</v>
      </c>
      <c r="K39" s="7">
        <v>43298</v>
      </c>
      <c r="L39" s="8" t="str">
        <f>"000261"</f>
        <v>000261</v>
      </c>
      <c r="M39" s="7">
        <v>43299</v>
      </c>
      <c r="N39" s="8">
        <v>18</v>
      </c>
      <c r="O39" s="8" t="str">
        <f>"004095"</f>
        <v>004095</v>
      </c>
      <c r="P39" s="7">
        <v>43672</v>
      </c>
      <c r="Q39" s="12">
        <v>86.768820000000005</v>
      </c>
      <c r="R39" s="12">
        <v>7.0282799999999996</v>
      </c>
      <c r="S39" s="12">
        <v>79.740539999999996</v>
      </c>
      <c r="T39" s="8">
        <v>136</v>
      </c>
      <c r="U39" s="7">
        <v>43677</v>
      </c>
      <c r="V39" s="8">
        <v>9886073963</v>
      </c>
      <c r="W39" s="11" t="s">
        <v>118</v>
      </c>
      <c r="X39" s="8" t="s">
        <v>104</v>
      </c>
      <c r="Y39" s="11" t="s">
        <v>105</v>
      </c>
      <c r="Z39" s="8" t="s">
        <v>33</v>
      </c>
      <c r="AA39" s="11" t="s">
        <v>34</v>
      </c>
      <c r="AB39" s="12">
        <f t="shared" si="1"/>
        <v>0.86768820000000002</v>
      </c>
    </row>
    <row r="40" spans="1:28" s="4" customFormat="1" ht="13" x14ac:dyDescent="0.3">
      <c r="A40" s="5">
        <v>2578</v>
      </c>
      <c r="B40" s="6" t="s">
        <v>101</v>
      </c>
      <c r="C40" s="7">
        <v>43677</v>
      </c>
      <c r="D40" s="8">
        <v>72</v>
      </c>
      <c r="E40" s="9" t="s">
        <v>55</v>
      </c>
      <c r="F40" s="8" t="s">
        <v>116</v>
      </c>
      <c r="G40" s="11" t="s">
        <v>117</v>
      </c>
      <c r="H40" s="8" t="str">
        <f>"000112"</f>
        <v>000112</v>
      </c>
      <c r="I40" s="7">
        <v>43191</v>
      </c>
      <c r="J40" s="8" t="str">
        <f>"000101"</f>
        <v>000101</v>
      </c>
      <c r="K40" s="7">
        <v>43298</v>
      </c>
      <c r="L40" s="8" t="str">
        <f>"000261"</f>
        <v>000261</v>
      </c>
      <c r="M40" s="7">
        <v>43299</v>
      </c>
      <c r="N40" s="8">
        <v>18</v>
      </c>
      <c r="O40" s="8" t="str">
        <f>"004095"</f>
        <v>004095</v>
      </c>
      <c r="P40" s="7">
        <v>43672</v>
      </c>
      <c r="Q40" s="12">
        <v>15.655670000000001</v>
      </c>
      <c r="R40" s="12">
        <v>1.2681100000000001</v>
      </c>
      <c r="S40" s="12">
        <v>14.387560000000001</v>
      </c>
      <c r="T40" s="8">
        <v>136</v>
      </c>
      <c r="U40" s="7">
        <v>43677</v>
      </c>
      <c r="V40" s="8">
        <v>9886073963</v>
      </c>
      <c r="W40" s="11" t="s">
        <v>118</v>
      </c>
      <c r="X40" s="8" t="s">
        <v>104</v>
      </c>
      <c r="Y40" s="11" t="s">
        <v>105</v>
      </c>
      <c r="Z40" s="8" t="s">
        <v>33</v>
      </c>
      <c r="AA40" s="11" t="s">
        <v>34</v>
      </c>
      <c r="AB40" s="12">
        <f t="shared" si="1"/>
        <v>0.15655669999999999</v>
      </c>
    </row>
    <row r="41" spans="1:28" s="4" customFormat="1" ht="13" x14ac:dyDescent="0.3">
      <c r="A41" s="5">
        <v>2579</v>
      </c>
      <c r="B41" s="6" t="s">
        <v>119</v>
      </c>
      <c r="C41" s="7">
        <v>43697</v>
      </c>
      <c r="D41" s="8">
        <v>72</v>
      </c>
      <c r="E41" s="9" t="s">
        <v>55</v>
      </c>
      <c r="F41" s="8" t="s">
        <v>120</v>
      </c>
      <c r="G41" s="11" t="s">
        <v>121</v>
      </c>
      <c r="H41" s="8" t="str">
        <f>"000010"</f>
        <v>000010</v>
      </c>
      <c r="I41" s="7">
        <v>43627</v>
      </c>
      <c r="J41" s="8" t="str">
        <f>"000051"</f>
        <v>000051</v>
      </c>
      <c r="K41" s="7">
        <v>43627</v>
      </c>
      <c r="L41" s="8" t="str">
        <f>"000051"</f>
        <v>000051</v>
      </c>
      <c r="M41" s="7">
        <v>43627</v>
      </c>
      <c r="N41" s="8">
        <v>11</v>
      </c>
      <c r="O41" s="8" t="str">
        <f>"004569"</f>
        <v>004569</v>
      </c>
      <c r="P41" s="7">
        <v>43694</v>
      </c>
      <c r="Q41" s="12">
        <v>39.33681</v>
      </c>
      <c r="R41" s="12">
        <v>2.0061800000000001</v>
      </c>
      <c r="S41" s="12">
        <v>37.330629999999999</v>
      </c>
      <c r="T41" s="8">
        <v>160</v>
      </c>
      <c r="U41" s="7">
        <v>43697</v>
      </c>
      <c r="V41" s="8">
        <v>9686660565</v>
      </c>
      <c r="W41" s="11" t="s">
        <v>122</v>
      </c>
      <c r="X41" s="8" t="s">
        <v>123</v>
      </c>
      <c r="Y41" s="11" t="s">
        <v>124</v>
      </c>
      <c r="Z41" s="8" t="s">
        <v>125</v>
      </c>
      <c r="AA41" s="11" t="s">
        <v>126</v>
      </c>
      <c r="AB41" s="12">
        <f t="shared" si="1"/>
        <v>0.3933681</v>
      </c>
    </row>
    <row r="42" spans="1:28" s="4" customFormat="1" ht="13" x14ac:dyDescent="0.3">
      <c r="A42" s="5">
        <v>2580</v>
      </c>
      <c r="B42" s="6" t="s">
        <v>127</v>
      </c>
      <c r="C42" s="7">
        <v>43727</v>
      </c>
      <c r="D42" s="8">
        <v>72</v>
      </c>
      <c r="E42" s="9" t="s">
        <v>55</v>
      </c>
      <c r="F42" s="8" t="s">
        <v>128</v>
      </c>
      <c r="G42" s="11" t="s">
        <v>129</v>
      </c>
      <c r="H42" s="8" t="str">
        <f>"000565"</f>
        <v>000565</v>
      </c>
      <c r="I42" s="7">
        <v>43523</v>
      </c>
      <c r="J42" s="8" t="str">
        <f>"000031"</f>
        <v>000031</v>
      </c>
      <c r="K42" s="7">
        <v>43673</v>
      </c>
      <c r="L42" s="8" t="str">
        <f>"000105"</f>
        <v>000105</v>
      </c>
      <c r="M42" s="7">
        <v>43675</v>
      </c>
      <c r="N42" s="8">
        <v>19</v>
      </c>
      <c r="O42" s="8" t="str">
        <f>"004615"</f>
        <v>004615</v>
      </c>
      <c r="P42" s="7">
        <v>43694</v>
      </c>
      <c r="Q42" s="12">
        <v>88.394990000000007</v>
      </c>
      <c r="R42" s="12">
        <v>9.5224799999999998</v>
      </c>
      <c r="S42" s="12">
        <v>78.872510000000005</v>
      </c>
      <c r="T42" s="8">
        <v>193</v>
      </c>
      <c r="U42" s="7">
        <v>43727</v>
      </c>
      <c r="V42" s="8">
        <v>8904904737</v>
      </c>
      <c r="W42" s="11" t="s">
        <v>48</v>
      </c>
      <c r="X42" s="8" t="s">
        <v>41</v>
      </c>
      <c r="Y42" s="11" t="s">
        <v>42</v>
      </c>
      <c r="Z42" s="8" t="s">
        <v>33</v>
      </c>
      <c r="AA42" s="11" t="s">
        <v>34</v>
      </c>
      <c r="AB42" s="12">
        <f t="shared" si="1"/>
        <v>0.88394990000000007</v>
      </c>
    </row>
    <row r="43" spans="1:28" s="4" customFormat="1" ht="13" x14ac:dyDescent="0.3">
      <c r="A43" s="5">
        <v>2581</v>
      </c>
      <c r="B43" s="6" t="s">
        <v>127</v>
      </c>
      <c r="C43" s="7">
        <v>43732</v>
      </c>
      <c r="D43" s="8">
        <v>72</v>
      </c>
      <c r="E43" s="9" t="s">
        <v>55</v>
      </c>
      <c r="F43" s="8" t="s">
        <v>130</v>
      </c>
      <c r="G43" s="11" t="s">
        <v>131</v>
      </c>
      <c r="H43" s="8" t="str">
        <f>"000035"</f>
        <v>000035</v>
      </c>
      <c r="I43" s="7">
        <v>43024</v>
      </c>
      <c r="J43" s="8" t="str">
        <f>"000149"</f>
        <v>000149</v>
      </c>
      <c r="K43" s="7">
        <v>43372</v>
      </c>
      <c r="L43" s="8" t="str">
        <f>"000321"</f>
        <v>000321</v>
      </c>
      <c r="M43" s="7">
        <v>43372</v>
      </c>
      <c r="N43" s="8">
        <v>17</v>
      </c>
      <c r="O43" s="8" t="str">
        <f>""</f>
        <v/>
      </c>
      <c r="P43" s="8"/>
      <c r="Q43" s="12">
        <v>1.9470000000000001</v>
      </c>
      <c r="R43" s="12">
        <v>0.19470000000000001</v>
      </c>
      <c r="S43" s="12">
        <v>1.7523</v>
      </c>
      <c r="T43" s="8">
        <v>199</v>
      </c>
      <c r="U43" s="7">
        <v>43732</v>
      </c>
      <c r="V43" s="8">
        <v>9538136111</v>
      </c>
      <c r="W43" s="11" t="s">
        <v>132</v>
      </c>
      <c r="X43" s="8" t="s">
        <v>133</v>
      </c>
      <c r="Y43" s="11" t="s">
        <v>134</v>
      </c>
      <c r="Z43" s="8" t="s">
        <v>33</v>
      </c>
      <c r="AA43" s="11" t="s">
        <v>34</v>
      </c>
      <c r="AB43" s="12">
        <f t="shared" si="1"/>
        <v>1.9470000000000001E-2</v>
      </c>
    </row>
    <row r="44" spans="1:28" s="4" customFormat="1" ht="13" x14ac:dyDescent="0.3">
      <c r="A44" s="5">
        <v>2582</v>
      </c>
      <c r="B44" s="6" t="s">
        <v>127</v>
      </c>
      <c r="C44" s="7">
        <v>43732</v>
      </c>
      <c r="D44" s="8">
        <v>72</v>
      </c>
      <c r="E44" s="9" t="s">
        <v>55</v>
      </c>
      <c r="F44" s="8" t="s">
        <v>106</v>
      </c>
      <c r="G44" s="11" t="s">
        <v>107</v>
      </c>
      <c r="H44" s="8" t="str">
        <f>"000148"</f>
        <v>000148</v>
      </c>
      <c r="I44" s="7">
        <v>43090</v>
      </c>
      <c r="J44" s="8" t="str">
        <f>"000005"</f>
        <v>000005</v>
      </c>
      <c r="K44" s="7">
        <v>43199</v>
      </c>
      <c r="L44" s="8" t="str">
        <f>"000043"</f>
        <v>000043</v>
      </c>
      <c r="M44" s="7">
        <v>43207</v>
      </c>
      <c r="N44" s="8">
        <v>18</v>
      </c>
      <c r="O44" s="8" t="str">
        <f>"005266"</f>
        <v>005266</v>
      </c>
      <c r="P44" s="7">
        <v>43728</v>
      </c>
      <c r="Q44" s="12">
        <v>2.4780000000000002</v>
      </c>
      <c r="R44" s="12">
        <v>0.24779999999999999</v>
      </c>
      <c r="S44" s="12">
        <v>2.2302</v>
      </c>
      <c r="T44" s="8">
        <v>199</v>
      </c>
      <c r="U44" s="7">
        <v>43732</v>
      </c>
      <c r="V44" s="8">
        <v>9538136111</v>
      </c>
      <c r="W44" s="11" t="s">
        <v>132</v>
      </c>
      <c r="X44" s="8" t="s">
        <v>104</v>
      </c>
      <c r="Y44" s="11" t="s">
        <v>105</v>
      </c>
      <c r="Z44" s="8" t="s">
        <v>33</v>
      </c>
      <c r="AA44" s="11" t="s">
        <v>34</v>
      </c>
      <c r="AB44" s="12">
        <f t="shared" si="1"/>
        <v>2.4780000000000003E-2</v>
      </c>
    </row>
    <row r="45" spans="1:28" s="4" customFormat="1" ht="13" x14ac:dyDescent="0.3">
      <c r="A45" s="5">
        <v>2583</v>
      </c>
      <c r="B45" s="6" t="s">
        <v>127</v>
      </c>
      <c r="C45" s="7">
        <v>43734</v>
      </c>
      <c r="D45" s="8">
        <v>72</v>
      </c>
      <c r="E45" s="9" t="s">
        <v>55</v>
      </c>
      <c r="F45" s="8" t="s">
        <v>135</v>
      </c>
      <c r="G45" s="11" t="s">
        <v>136</v>
      </c>
      <c r="H45" s="8" t="str">
        <f>"000347"</f>
        <v>000347</v>
      </c>
      <c r="I45" s="7">
        <v>43191</v>
      </c>
      <c r="J45" s="8" t="str">
        <f>"000124"</f>
        <v>000124</v>
      </c>
      <c r="K45" s="7">
        <v>43321</v>
      </c>
      <c r="L45" s="8" t="str">
        <f>"000285"</f>
        <v>000285</v>
      </c>
      <c r="M45" s="7">
        <v>43340</v>
      </c>
      <c r="N45" s="8">
        <v>18</v>
      </c>
      <c r="O45" s="8" t="str">
        <f>"005394"</f>
        <v>005394</v>
      </c>
      <c r="P45" s="7">
        <v>43731</v>
      </c>
      <c r="Q45" s="12">
        <v>49.981990000000003</v>
      </c>
      <c r="R45" s="12">
        <v>4.21854</v>
      </c>
      <c r="S45" s="12">
        <v>45.763449999999999</v>
      </c>
      <c r="T45" s="8">
        <v>203</v>
      </c>
      <c r="U45" s="7">
        <v>43734</v>
      </c>
      <c r="V45" s="8">
        <v>9845235505</v>
      </c>
      <c r="W45" s="11" t="s">
        <v>48</v>
      </c>
      <c r="X45" s="8" t="s">
        <v>104</v>
      </c>
      <c r="Y45" s="11" t="s">
        <v>105</v>
      </c>
      <c r="Z45" s="8" t="s">
        <v>33</v>
      </c>
      <c r="AA45" s="11" t="s">
        <v>34</v>
      </c>
      <c r="AB45" s="12">
        <f t="shared" si="1"/>
        <v>0.49981990000000004</v>
      </c>
    </row>
    <row r="46" spans="1:28" s="4" customFormat="1" ht="13" x14ac:dyDescent="0.3">
      <c r="A46" s="5">
        <v>2584</v>
      </c>
      <c r="B46" s="6" t="s">
        <v>127</v>
      </c>
      <c r="C46" s="7">
        <v>43738</v>
      </c>
      <c r="D46" s="8">
        <v>72</v>
      </c>
      <c r="E46" s="9" t="s">
        <v>55</v>
      </c>
      <c r="F46" s="8" t="s">
        <v>137</v>
      </c>
      <c r="G46" s="11" t="s">
        <v>138</v>
      </c>
      <c r="H46" s="8" t="str">
        <f>"000006"</f>
        <v>000006</v>
      </c>
      <c r="I46" s="7">
        <v>43679</v>
      </c>
      <c r="J46" s="8" t="str">
        <f>"000096"</f>
        <v>000096</v>
      </c>
      <c r="K46" s="7">
        <v>43719</v>
      </c>
      <c r="L46" s="8" t="str">
        <f>"000096"</f>
        <v>000096</v>
      </c>
      <c r="M46" s="7">
        <v>43719</v>
      </c>
      <c r="N46" s="8">
        <v>19</v>
      </c>
      <c r="O46" s="8" t="str">
        <f>"005377"</f>
        <v>005377</v>
      </c>
      <c r="P46" s="7">
        <v>43729</v>
      </c>
      <c r="Q46" s="12">
        <v>7.2073299999999998</v>
      </c>
      <c r="R46" s="12">
        <v>0.28005000000000002</v>
      </c>
      <c r="S46" s="12">
        <v>6.9272799999999997</v>
      </c>
      <c r="T46" s="8">
        <v>207</v>
      </c>
      <c r="U46" s="7">
        <v>43738</v>
      </c>
      <c r="V46" s="8">
        <v>9964168613</v>
      </c>
      <c r="W46" s="11" t="s">
        <v>139</v>
      </c>
      <c r="X46" s="8" t="s">
        <v>140</v>
      </c>
      <c r="Y46" s="11" t="s">
        <v>141</v>
      </c>
      <c r="Z46" s="8" t="s">
        <v>36</v>
      </c>
      <c r="AA46" s="11" t="s">
        <v>37</v>
      </c>
      <c r="AB46" s="12">
        <f t="shared" si="1"/>
        <v>7.2073299999999993E-2</v>
      </c>
    </row>
    <row r="47" spans="1:28" s="4" customFormat="1" ht="13" x14ac:dyDescent="0.3">
      <c r="A47" s="5">
        <v>2585</v>
      </c>
      <c r="B47" s="6" t="s">
        <v>142</v>
      </c>
      <c r="C47" s="7">
        <v>43748</v>
      </c>
      <c r="D47" s="5">
        <v>72</v>
      </c>
      <c r="E47" s="9" t="s">
        <v>55</v>
      </c>
      <c r="F47" s="8" t="s">
        <v>143</v>
      </c>
      <c r="G47" s="9" t="s">
        <v>144</v>
      </c>
      <c r="H47" s="8" t="str">
        <f>"000349"</f>
        <v>000349</v>
      </c>
      <c r="I47" s="7">
        <v>43166</v>
      </c>
      <c r="J47" s="8" t="str">
        <f>"000121"</f>
        <v>000121</v>
      </c>
      <c r="K47" s="7">
        <v>43321</v>
      </c>
      <c r="L47" s="8" t="str">
        <f>"000294"</f>
        <v>000294</v>
      </c>
      <c r="M47" s="7">
        <v>43343</v>
      </c>
      <c r="N47" s="8">
        <v>18</v>
      </c>
      <c r="O47" s="8" t="str">
        <f>"005626"</f>
        <v>005626</v>
      </c>
      <c r="P47" s="7">
        <v>43741</v>
      </c>
      <c r="Q47" s="10">
        <v>49.984020000000001</v>
      </c>
      <c r="R47" s="10">
        <v>4.2286999999999999</v>
      </c>
      <c r="S47" s="10">
        <v>45.755319999999998</v>
      </c>
      <c r="T47" s="8">
        <v>13</v>
      </c>
      <c r="U47" s="7">
        <v>43748</v>
      </c>
      <c r="V47" s="8">
        <v>9845235505</v>
      </c>
      <c r="W47" s="9" t="s">
        <v>48</v>
      </c>
      <c r="X47" s="8" t="s">
        <v>104</v>
      </c>
      <c r="Y47" s="9" t="s">
        <v>105</v>
      </c>
      <c r="Z47" s="8" t="s">
        <v>33</v>
      </c>
      <c r="AA47" s="9" t="s">
        <v>34</v>
      </c>
      <c r="AB47" s="10">
        <v>0.49984020000000001</v>
      </c>
    </row>
    <row r="48" spans="1:28" s="4" customFormat="1" ht="13" x14ac:dyDescent="0.3">
      <c r="A48" s="5">
        <v>2586</v>
      </c>
      <c r="B48" s="6" t="s">
        <v>142</v>
      </c>
      <c r="C48" s="7">
        <v>43749</v>
      </c>
      <c r="D48" s="5">
        <v>72</v>
      </c>
      <c r="E48" s="9" t="s">
        <v>55</v>
      </c>
      <c r="F48" s="8" t="s">
        <v>145</v>
      </c>
      <c r="G48" s="9" t="s">
        <v>146</v>
      </c>
      <c r="H48" s="8" t="str">
        <f>"000072"</f>
        <v>000072</v>
      </c>
      <c r="I48" s="7">
        <v>43062</v>
      </c>
      <c r="J48" s="8" t="str">
        <f>"000086"</f>
        <v>000086</v>
      </c>
      <c r="K48" s="7">
        <v>43117</v>
      </c>
      <c r="L48" s="8" t="str">
        <f>"000359"</f>
        <v>000359</v>
      </c>
      <c r="M48" s="7">
        <v>43129</v>
      </c>
      <c r="N48" s="8">
        <v>17</v>
      </c>
      <c r="O48" s="8" t="str">
        <f>"010721"</f>
        <v>010721</v>
      </c>
      <c r="P48" s="7">
        <v>43182</v>
      </c>
      <c r="Q48" s="10">
        <v>145.72936000000001</v>
      </c>
      <c r="R48" s="10">
        <v>14.041980000000001</v>
      </c>
      <c r="S48" s="10">
        <v>131.68737999999999</v>
      </c>
      <c r="T48" s="8">
        <v>13</v>
      </c>
      <c r="U48" s="7">
        <v>43749</v>
      </c>
      <c r="V48" s="8">
        <v>9886775766</v>
      </c>
      <c r="W48" s="9" t="s">
        <v>147</v>
      </c>
      <c r="X48" s="8" t="s">
        <v>148</v>
      </c>
      <c r="Y48" s="9" t="s">
        <v>149</v>
      </c>
      <c r="Z48" s="8" t="s">
        <v>33</v>
      </c>
      <c r="AA48" s="9" t="s">
        <v>34</v>
      </c>
      <c r="AB48" s="10">
        <v>1.4572936000000001</v>
      </c>
    </row>
    <row r="49" spans="1:28" s="4" customFormat="1" ht="13" x14ac:dyDescent="0.3">
      <c r="A49" s="5">
        <v>2587</v>
      </c>
      <c r="B49" s="6" t="s">
        <v>142</v>
      </c>
      <c r="C49" s="7">
        <v>43768</v>
      </c>
      <c r="D49" s="5">
        <v>72</v>
      </c>
      <c r="E49" s="9" t="s">
        <v>55</v>
      </c>
      <c r="F49" s="8" t="s">
        <v>150</v>
      </c>
      <c r="G49" s="9" t="s">
        <v>151</v>
      </c>
      <c r="H49" s="8" t="str">
        <f>"000301"</f>
        <v>000301</v>
      </c>
      <c r="I49" s="7">
        <v>43158</v>
      </c>
      <c r="J49" s="8" t="str">
        <f>"000089"</f>
        <v>000089</v>
      </c>
      <c r="K49" s="7">
        <v>43270</v>
      </c>
      <c r="L49" s="8" t="str">
        <f>"000189"</f>
        <v>000189</v>
      </c>
      <c r="M49" s="7">
        <v>43273</v>
      </c>
      <c r="N49" s="8">
        <v>18</v>
      </c>
      <c r="O49" s="8" t="str">
        <f>""</f>
        <v/>
      </c>
      <c r="P49" s="7"/>
      <c r="Q49" s="10">
        <v>507.78539000000001</v>
      </c>
      <c r="R49" s="10">
        <v>22.319199999999999</v>
      </c>
      <c r="S49" s="10">
        <v>485.46618999999998</v>
      </c>
      <c r="T49" s="8">
        <v>13</v>
      </c>
      <c r="U49" s="7">
        <v>43768</v>
      </c>
      <c r="V49" s="8">
        <v>9731449749</v>
      </c>
      <c r="W49" s="9" t="s">
        <v>152</v>
      </c>
      <c r="X49" s="8" t="s">
        <v>104</v>
      </c>
      <c r="Y49" s="9" t="s">
        <v>105</v>
      </c>
      <c r="Z49" s="8" t="s">
        <v>33</v>
      </c>
      <c r="AA49" s="9" t="s">
        <v>34</v>
      </c>
      <c r="AB49" s="10">
        <v>5.0778539</v>
      </c>
    </row>
    <row r="50" spans="1:28" s="4" customFormat="1" ht="13" x14ac:dyDescent="0.3">
      <c r="A50" s="5">
        <v>2588</v>
      </c>
      <c r="B50" s="6" t="s">
        <v>153</v>
      </c>
      <c r="C50" s="7">
        <v>43777</v>
      </c>
      <c r="D50" s="5">
        <v>72</v>
      </c>
      <c r="E50" s="9" t="s">
        <v>55</v>
      </c>
      <c r="F50" s="8" t="s">
        <v>58</v>
      </c>
      <c r="G50" s="9" t="s">
        <v>59</v>
      </c>
      <c r="H50" s="8" t="str">
        <f>"000043"</f>
        <v>000043</v>
      </c>
      <c r="I50" s="7">
        <v>42794</v>
      </c>
      <c r="J50" s="8" t="str">
        <f>"000033"</f>
        <v>000033</v>
      </c>
      <c r="K50" s="7">
        <v>43073</v>
      </c>
      <c r="L50" s="8" t="str">
        <f>"000032"</f>
        <v>000032</v>
      </c>
      <c r="M50" s="7">
        <v>43074</v>
      </c>
      <c r="N50" s="8">
        <v>16</v>
      </c>
      <c r="O50" s="8" t="str">
        <f>"003569"</f>
        <v>003569</v>
      </c>
      <c r="P50" s="7">
        <v>43292</v>
      </c>
      <c r="Q50" s="10">
        <v>2.7357900000000002</v>
      </c>
      <c r="R50" s="10">
        <v>0.34283000000000002</v>
      </c>
      <c r="S50" s="10">
        <v>2.39296</v>
      </c>
      <c r="T50" s="8">
        <v>13</v>
      </c>
      <c r="U50" s="7">
        <v>43777</v>
      </c>
      <c r="V50" s="8">
        <v>9845695444</v>
      </c>
      <c r="W50" s="9" t="s">
        <v>64</v>
      </c>
      <c r="X50" s="8" t="s">
        <v>29</v>
      </c>
      <c r="Y50" s="9" t="s">
        <v>30</v>
      </c>
      <c r="Z50" s="8" t="s">
        <v>36</v>
      </c>
      <c r="AA50" s="9" t="s">
        <v>37</v>
      </c>
      <c r="AB50" s="10">
        <v>2.7357900000000001E-2</v>
      </c>
    </row>
    <row r="51" spans="1:28" s="4" customFormat="1" ht="13" x14ac:dyDescent="0.3">
      <c r="A51" s="5">
        <v>2589</v>
      </c>
      <c r="B51" s="6" t="s">
        <v>153</v>
      </c>
      <c r="C51" s="7">
        <v>43777</v>
      </c>
      <c r="D51" s="5">
        <v>72</v>
      </c>
      <c r="E51" s="9" t="s">
        <v>55</v>
      </c>
      <c r="F51" s="8" t="s">
        <v>56</v>
      </c>
      <c r="G51" s="9" t="s">
        <v>57</v>
      </c>
      <c r="H51" s="8" t="str">
        <f>"000042"</f>
        <v>000042</v>
      </c>
      <c r="I51" s="7">
        <v>42794</v>
      </c>
      <c r="J51" s="8" t="str">
        <f>"000032"</f>
        <v>000032</v>
      </c>
      <c r="K51" s="7">
        <v>43073</v>
      </c>
      <c r="L51" s="8" t="str">
        <f>"000039"</f>
        <v>000039</v>
      </c>
      <c r="M51" s="7">
        <v>43074</v>
      </c>
      <c r="N51" s="8">
        <v>16</v>
      </c>
      <c r="O51" s="8" t="str">
        <f>"003575"</f>
        <v>003575</v>
      </c>
      <c r="P51" s="7">
        <v>43292</v>
      </c>
      <c r="Q51" s="10">
        <v>2.65917</v>
      </c>
      <c r="R51" s="10">
        <v>0.33446999999999999</v>
      </c>
      <c r="S51" s="10">
        <v>2.3247</v>
      </c>
      <c r="T51" s="8">
        <v>13</v>
      </c>
      <c r="U51" s="7">
        <v>43777</v>
      </c>
      <c r="V51" s="8">
        <v>9845695444</v>
      </c>
      <c r="W51" s="9" t="s">
        <v>65</v>
      </c>
      <c r="X51" s="8" t="s">
        <v>29</v>
      </c>
      <c r="Y51" s="9" t="s">
        <v>30</v>
      </c>
      <c r="Z51" s="8" t="s">
        <v>36</v>
      </c>
      <c r="AA51" s="9" t="s">
        <v>37</v>
      </c>
      <c r="AB51" s="10">
        <v>2.6591699999999999E-2</v>
      </c>
    </row>
    <row r="52" spans="1:28" s="4" customFormat="1" ht="13" x14ac:dyDescent="0.3">
      <c r="A52" s="5">
        <v>2590</v>
      </c>
      <c r="B52" s="6" t="s">
        <v>153</v>
      </c>
      <c r="C52" s="7">
        <v>43785</v>
      </c>
      <c r="D52" s="5">
        <v>72</v>
      </c>
      <c r="E52" s="9" t="s">
        <v>55</v>
      </c>
      <c r="F52" s="8" t="s">
        <v>145</v>
      </c>
      <c r="G52" s="9" t="s">
        <v>146</v>
      </c>
      <c r="H52" s="8" t="str">
        <f>"000072"</f>
        <v>000072</v>
      </c>
      <c r="I52" s="7">
        <v>43062</v>
      </c>
      <c r="J52" s="8" t="str">
        <f>"000086"</f>
        <v>000086</v>
      </c>
      <c r="K52" s="7">
        <v>43117</v>
      </c>
      <c r="L52" s="8" t="str">
        <f>"000359"</f>
        <v>000359</v>
      </c>
      <c r="M52" s="7">
        <v>43129</v>
      </c>
      <c r="N52" s="8">
        <v>17</v>
      </c>
      <c r="O52" s="8" t="str">
        <f>"010721"</f>
        <v>010721</v>
      </c>
      <c r="P52" s="7">
        <v>43182</v>
      </c>
      <c r="Q52" s="10">
        <v>48.830710000000003</v>
      </c>
      <c r="R52" s="10">
        <v>4.5871199999999996</v>
      </c>
      <c r="S52" s="10">
        <v>44.243589999999998</v>
      </c>
      <c r="T52" s="8">
        <v>13</v>
      </c>
      <c r="U52" s="7">
        <v>43785</v>
      </c>
      <c r="V52" s="8">
        <v>9886775766</v>
      </c>
      <c r="W52" s="9" t="s">
        <v>147</v>
      </c>
      <c r="X52" s="8" t="s">
        <v>148</v>
      </c>
      <c r="Y52" s="9" t="s">
        <v>149</v>
      </c>
      <c r="Z52" s="8" t="s">
        <v>33</v>
      </c>
      <c r="AA52" s="9" t="s">
        <v>34</v>
      </c>
      <c r="AB52" s="10">
        <v>0.48830710000000005</v>
      </c>
    </row>
    <row r="53" spans="1:28" s="4" customFormat="1" ht="13" x14ac:dyDescent="0.3">
      <c r="A53" s="5">
        <v>2591</v>
      </c>
      <c r="B53" s="6" t="s">
        <v>153</v>
      </c>
      <c r="C53" s="7">
        <v>43797</v>
      </c>
      <c r="D53" s="5">
        <v>72</v>
      </c>
      <c r="E53" s="9" t="s">
        <v>55</v>
      </c>
      <c r="F53" s="8" t="s">
        <v>154</v>
      </c>
      <c r="G53" s="9" t="s">
        <v>155</v>
      </c>
      <c r="H53" s="8" t="str">
        <f>"000226"</f>
        <v>000226</v>
      </c>
      <c r="I53" s="7">
        <v>43340</v>
      </c>
      <c r="J53" s="8" t="str">
        <f>"000144"</f>
        <v>000144</v>
      </c>
      <c r="K53" s="7">
        <v>43369</v>
      </c>
      <c r="L53" s="8" t="str">
        <f>"000310"</f>
        <v>000310</v>
      </c>
      <c r="M53" s="7">
        <v>43369</v>
      </c>
      <c r="N53" s="8">
        <v>18</v>
      </c>
      <c r="O53" s="8" t="str">
        <f>"006273"</f>
        <v>006273</v>
      </c>
      <c r="P53" s="7">
        <v>43787</v>
      </c>
      <c r="Q53" s="10">
        <v>48.625190000000003</v>
      </c>
      <c r="R53" s="10">
        <v>1.5073799999999999</v>
      </c>
      <c r="S53" s="10">
        <v>47.117809999999999</v>
      </c>
      <c r="T53" s="8">
        <v>13</v>
      </c>
      <c r="U53" s="7">
        <v>43797</v>
      </c>
      <c r="V53" s="8">
        <v>9845007498</v>
      </c>
      <c r="W53" s="9" t="s">
        <v>156</v>
      </c>
      <c r="X53" s="8" t="s">
        <v>157</v>
      </c>
      <c r="Y53" s="9" t="s">
        <v>158</v>
      </c>
      <c r="Z53" s="8" t="s">
        <v>33</v>
      </c>
      <c r="AA53" s="9" t="s">
        <v>34</v>
      </c>
      <c r="AB53" s="10">
        <v>0.48625190000000001</v>
      </c>
    </row>
    <row r="54" spans="1:28" s="4" customFormat="1" ht="13" x14ac:dyDescent="0.3">
      <c r="A54" s="5">
        <v>2592</v>
      </c>
      <c r="B54" s="6" t="s">
        <v>153</v>
      </c>
      <c r="C54" s="7">
        <v>43797</v>
      </c>
      <c r="D54" s="5">
        <v>72</v>
      </c>
      <c r="E54" s="9" t="s">
        <v>55</v>
      </c>
      <c r="F54" s="8" t="s">
        <v>159</v>
      </c>
      <c r="G54" s="9" t="s">
        <v>160</v>
      </c>
      <c r="H54" s="8" t="str">
        <f>"000209"</f>
        <v>000209</v>
      </c>
      <c r="I54" s="7">
        <v>43304</v>
      </c>
      <c r="J54" s="8" t="str">
        <f>"000142"</f>
        <v>000142</v>
      </c>
      <c r="K54" s="7">
        <v>43369</v>
      </c>
      <c r="L54" s="8" t="str">
        <f>"000311"</f>
        <v>000311</v>
      </c>
      <c r="M54" s="7">
        <v>43369</v>
      </c>
      <c r="N54" s="8">
        <v>18</v>
      </c>
      <c r="O54" s="8" t="str">
        <f>"006274"</f>
        <v>006274</v>
      </c>
      <c r="P54" s="7">
        <v>43787</v>
      </c>
      <c r="Q54" s="10">
        <v>58.969990000000003</v>
      </c>
      <c r="R54" s="10">
        <v>1.8280700000000001</v>
      </c>
      <c r="S54" s="10">
        <v>57.141919999999999</v>
      </c>
      <c r="T54" s="8">
        <v>13</v>
      </c>
      <c r="U54" s="7">
        <v>43797</v>
      </c>
      <c r="V54" s="8">
        <v>9845007498</v>
      </c>
      <c r="W54" s="9" t="s">
        <v>161</v>
      </c>
      <c r="X54" s="8" t="s">
        <v>162</v>
      </c>
      <c r="Y54" s="9" t="s">
        <v>163</v>
      </c>
      <c r="Z54" s="8" t="s">
        <v>33</v>
      </c>
      <c r="AA54" s="9" t="s">
        <v>34</v>
      </c>
      <c r="AB54" s="10">
        <v>0.58969990000000005</v>
      </c>
    </row>
    <row r="55" spans="1:28" s="4" customFormat="1" ht="13" x14ac:dyDescent="0.3">
      <c r="A55" s="5">
        <v>2593</v>
      </c>
      <c r="B55" s="6" t="s">
        <v>153</v>
      </c>
      <c r="C55" s="7">
        <v>43797</v>
      </c>
      <c r="D55" s="5">
        <v>72</v>
      </c>
      <c r="E55" s="9" t="s">
        <v>55</v>
      </c>
      <c r="F55" s="8" t="s">
        <v>164</v>
      </c>
      <c r="G55" s="9" t="s">
        <v>165</v>
      </c>
      <c r="H55" s="8" t="str">
        <f>"000210"</f>
        <v>000210</v>
      </c>
      <c r="I55" s="7">
        <v>43304</v>
      </c>
      <c r="J55" s="8" t="str">
        <f>"000143"</f>
        <v>000143</v>
      </c>
      <c r="K55" s="7">
        <v>43369</v>
      </c>
      <c r="L55" s="8" t="str">
        <f>"000312"</f>
        <v>000312</v>
      </c>
      <c r="M55" s="7">
        <v>43369</v>
      </c>
      <c r="N55" s="8">
        <v>18</v>
      </c>
      <c r="O55" s="8" t="str">
        <f>"006275"</f>
        <v>006275</v>
      </c>
      <c r="P55" s="7">
        <v>43787</v>
      </c>
      <c r="Q55" s="10">
        <v>58.972999999999999</v>
      </c>
      <c r="R55" s="10">
        <v>1.82816</v>
      </c>
      <c r="S55" s="10">
        <v>57.144840000000002</v>
      </c>
      <c r="T55" s="8">
        <v>13</v>
      </c>
      <c r="U55" s="7">
        <v>43797</v>
      </c>
      <c r="V55" s="8">
        <v>9845007498</v>
      </c>
      <c r="W55" s="9" t="s">
        <v>161</v>
      </c>
      <c r="X55" s="8" t="s">
        <v>162</v>
      </c>
      <c r="Y55" s="9" t="s">
        <v>163</v>
      </c>
      <c r="Z55" s="8" t="s">
        <v>33</v>
      </c>
      <c r="AA55" s="9" t="s">
        <v>34</v>
      </c>
      <c r="AB55" s="10">
        <v>0.58972999999999998</v>
      </c>
    </row>
    <row r="56" spans="1:28" s="4" customFormat="1" ht="13" x14ac:dyDescent="0.3">
      <c r="A56" s="5">
        <v>2594</v>
      </c>
      <c r="B56" s="6" t="s">
        <v>166</v>
      </c>
      <c r="C56" s="7">
        <v>43809</v>
      </c>
      <c r="D56" s="5">
        <v>72</v>
      </c>
      <c r="E56" s="9" t="s">
        <v>55</v>
      </c>
      <c r="F56" s="8" t="s">
        <v>116</v>
      </c>
      <c r="G56" s="9" t="s">
        <v>117</v>
      </c>
      <c r="H56" s="8" t="str">
        <f>"000112"</f>
        <v>000112</v>
      </c>
      <c r="I56" s="7">
        <v>43191</v>
      </c>
      <c r="J56" s="8" t="str">
        <f>"000101"</f>
        <v>000101</v>
      </c>
      <c r="K56" s="7">
        <v>43298</v>
      </c>
      <c r="L56" s="8" t="str">
        <f>"000261"</f>
        <v>000261</v>
      </c>
      <c r="M56" s="7">
        <v>43299</v>
      </c>
      <c r="N56" s="8">
        <v>18</v>
      </c>
      <c r="O56" s="8" t="str">
        <f>"004095"</f>
        <v>004095</v>
      </c>
      <c r="P56" s="7">
        <v>43672</v>
      </c>
      <c r="Q56" s="10">
        <v>0.99299999999999999</v>
      </c>
      <c r="R56" s="10">
        <v>9.9299999999999999E-2</v>
      </c>
      <c r="S56" s="10">
        <v>0.89370000000000005</v>
      </c>
      <c r="T56" s="8">
        <v>13</v>
      </c>
      <c r="U56" s="7">
        <v>43809</v>
      </c>
      <c r="V56" s="8">
        <v>8553518550</v>
      </c>
      <c r="W56" s="9" t="s">
        <v>167</v>
      </c>
      <c r="X56" s="8" t="s">
        <v>104</v>
      </c>
      <c r="Y56" s="9" t="s">
        <v>105</v>
      </c>
      <c r="Z56" s="8" t="s">
        <v>33</v>
      </c>
      <c r="AA56" s="9" t="s">
        <v>34</v>
      </c>
      <c r="AB56" s="10">
        <v>9.9299999999999996E-3</v>
      </c>
    </row>
    <row r="57" spans="1:28" s="4" customFormat="1" ht="13" x14ac:dyDescent="0.3">
      <c r="A57" s="5">
        <v>2595</v>
      </c>
      <c r="B57" s="6" t="s">
        <v>166</v>
      </c>
      <c r="C57" s="7">
        <v>43809</v>
      </c>
      <c r="D57" s="5">
        <v>72</v>
      </c>
      <c r="E57" s="9" t="s">
        <v>55</v>
      </c>
      <c r="F57" s="8" t="s">
        <v>168</v>
      </c>
      <c r="G57" s="9" t="s">
        <v>169</v>
      </c>
      <c r="H57" s="8" t="str">
        <f>"000305"</f>
        <v>000305</v>
      </c>
      <c r="I57" s="7">
        <v>43159</v>
      </c>
      <c r="J57" s="8" t="str">
        <f>"000133"</f>
        <v>000133</v>
      </c>
      <c r="K57" s="7">
        <v>43360</v>
      </c>
      <c r="L57" s="8" t="str">
        <f>"000319"</f>
        <v>000319</v>
      </c>
      <c r="M57" s="7">
        <v>43369</v>
      </c>
      <c r="N57" s="8">
        <v>18</v>
      </c>
      <c r="O57" s="8" t="str">
        <f>"006621"</f>
        <v>006621</v>
      </c>
      <c r="P57" s="7">
        <v>43803</v>
      </c>
      <c r="Q57" s="10">
        <v>0.995</v>
      </c>
      <c r="R57" s="10">
        <v>9.9500000000000005E-2</v>
      </c>
      <c r="S57" s="10">
        <v>0.89549999999999996</v>
      </c>
      <c r="T57" s="8">
        <v>13</v>
      </c>
      <c r="U57" s="7">
        <v>43809</v>
      </c>
      <c r="V57" s="8">
        <v>9886998316</v>
      </c>
      <c r="W57" s="9" t="s">
        <v>170</v>
      </c>
      <c r="X57" s="8" t="s">
        <v>171</v>
      </c>
      <c r="Y57" s="9" t="s">
        <v>172</v>
      </c>
      <c r="Z57" s="8" t="s">
        <v>33</v>
      </c>
      <c r="AA57" s="9" t="s">
        <v>34</v>
      </c>
      <c r="AB57" s="10">
        <v>9.9500000000000005E-3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2020-01-28T12:00:33Z</dcterms:modified>
</cp:coreProperties>
</file>