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3" i="1" l="1"/>
  <c r="L53" i="1"/>
  <c r="J53" i="1"/>
  <c r="H53" i="1"/>
  <c r="O52" i="1"/>
  <c r="L52" i="1"/>
  <c r="J52" i="1"/>
  <c r="H52" i="1"/>
  <c r="O51" i="1"/>
  <c r="L51" i="1"/>
  <c r="J51" i="1"/>
  <c r="H51" i="1"/>
  <c r="O50" i="1"/>
  <c r="L50" i="1"/>
  <c r="J50" i="1"/>
  <c r="H50" i="1"/>
  <c r="O49" i="1"/>
  <c r="L49" i="1"/>
  <c r="J49" i="1"/>
  <c r="H49" i="1"/>
  <c r="O48" i="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O22" i="1"/>
  <c r="L22" i="1"/>
  <c r="J22" i="1"/>
  <c r="H22"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O13" i="1"/>
  <c r="L13" i="1"/>
  <c r="J13" i="1"/>
  <c r="H13"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<sst xmlns="http://schemas.openxmlformats.org/spreadsheetml/2006/main" count="496" uniqueCount="173">
  <si>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</si>
  <si>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</si>
  <si>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</si>
  <si>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</si>
  <si>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</si>
  <si>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</si>
  <si>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</si>
  <si>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</si>
  <si>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</si>
  <si>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</si>
  <si>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</si>
  <si>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</si>
  <si>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</si>
  <si>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</si>
  <si>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</si>
  <si>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</si>
  <si>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</si>
  <si>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</si>
  <si>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</si>
  <si>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</si>
  <si>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</si>
  <si>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</si>
  <si>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</si>
  <si>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</si>
  <si>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</si>
  <si>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</si>
  <si>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</si>
  <si>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</si>
  <si>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</si>
  <si>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P0300</t>
  </si>
  <si>
    <t>M and R to Street Lights - Replacement of Burnt Bulbs etc. (Package)</t>
  </si>
  <si>
    <t>June</t>
  </si>
  <si>
    <t>P1771</t>
  </si>
  <si>
    <t>Zone Works - POW Works</t>
  </si>
  <si>
    <t>May</t>
  </si>
  <si>
    <t>P3111</t>
  </si>
  <si>
    <t>State Finance Commission Untied Grant Works</t>
  </si>
  <si>
    <t>P3110</t>
  </si>
  <si>
    <t>14th Finance Commission Grant Works</t>
  </si>
  <si>
    <t>kridl</t>
  </si>
  <si>
    <t>P2415</t>
  </si>
  <si>
    <t>Reserve fund for TandF Committee</t>
  </si>
  <si>
    <t>ddo201</t>
  </si>
  <si>
    <t xml:space="preserve"> Assistant Executive Engineer Mahalakshmipuram West Zone</t>
  </si>
  <si>
    <t>ddo209</t>
  </si>
  <si>
    <t xml:space="preserve"> Assistant Executive Engineer Electrical West Zone</t>
  </si>
  <si>
    <t>P2178</t>
  </si>
  <si>
    <t>Works sanctioned by Dy. Mayor</t>
  </si>
  <si>
    <t>P3075</t>
  </si>
  <si>
    <t>Special comprehensive development works in Bangalore city (Bangalore city in charge Minister Discretionary Grants)</t>
  </si>
  <si>
    <t>P3298</t>
  </si>
  <si>
    <t>14th Finance Commission Works - SWM Works</t>
  </si>
  <si>
    <t>Executive Engineer 2 KRIDL</t>
  </si>
  <si>
    <t>Shakthi Ganapathi Nagara</t>
  </si>
  <si>
    <t>074-18-000038</t>
  </si>
  <si>
    <t>Distribution of dustbins in ward no 74</t>
  </si>
  <si>
    <t>074-17-000081</t>
  </si>
  <si>
    <t>Providing Modren Dust Bin in Bangalore City in ward no74</t>
  </si>
  <si>
    <t>074-17-000066</t>
  </si>
  <si>
    <t>Providing asphalting and improvements to drain 2nd main 3rd main and 5th cross Gruhalakshmi Layout Opposite KEA Club road in ward no 74</t>
  </si>
  <si>
    <t>074-17-000067</t>
  </si>
  <si>
    <t>Providing CC road and improvements to drain next to KEA Club cross roads in ward no 74</t>
  </si>
  <si>
    <t>074-16-000001</t>
  </si>
  <si>
    <t>Annual Operation And maintenance Of Street Lights at Shakthiganapathinagara and Vrushabhavathi nagara in Ward No-74 and 102</t>
  </si>
  <si>
    <t>Electrolines</t>
  </si>
  <si>
    <t>074-17-000012</t>
  </si>
  <si>
    <t>Providing asphalting to 1st, 2nd and  3rd main and 1st G Main road of NHCS Layout in ward no.74</t>
  </si>
  <si>
    <t>074-19-000008</t>
  </si>
  <si>
    <t>Improvements to CC road and developments works 1st cross road in Kasturi layout road (Dr. Rajkumar  statue L-S ) in ward no 74 Shakthiganapathinagara</t>
  </si>
  <si>
    <t>074-19-000002</t>
  </si>
  <si>
    <t>Construction of secondsry CC drain and other development works to eastern side of Shakthiganapathi nagara main road from Shakthiganapathi Temple to 8th main road in ward No 74</t>
  </si>
  <si>
    <t>074-19-000009</t>
  </si>
  <si>
    <t>Improvements to CC  roads and developments works 3rd cross road in Kasturi layout (Cheluvaraju building to pipeline road ) in ward no 74</t>
  </si>
  <si>
    <t>074-19-000007</t>
  </si>
  <si>
    <t>Improvements to CC road and developments works at Kasturi layout main road (Dr. Rajkumar road to pipeline road) in ward no 74 Shakthiganapathinagara</t>
  </si>
  <si>
    <t>074-19-000001</t>
  </si>
  <si>
    <t>Construction of secondsry CC drain and other development works of Eastern side of Shakthi ganapathinagara main road from Bangalore law collage to shakthi ganapathi nagara temple ward No 74</t>
  </si>
  <si>
    <t>074-15-000069</t>
  </si>
  <si>
    <t xml:space="preserve">Providing asphalting 10th Main 3rd Stage, 4th Block, Basaveshwaranagara   in ward no.74  </t>
  </si>
  <si>
    <t>074-15-000068</t>
  </si>
  <si>
    <t>Providing asphalting to A to B Cross 3rd Stage 4th Block Basaveshwaranagara in ward no.74</t>
  </si>
  <si>
    <t>074-15-000067</t>
  </si>
  <si>
    <t xml:space="preserve">Providing asphalting to 1st A Cross to 1st D Cross 3rd Stage 4th Block, Basaveshwaranagara in ward no.74  </t>
  </si>
  <si>
    <t>074-15-000070</t>
  </si>
  <si>
    <t>Providing asphalting Mahadevappa house road and back side road in ward no.74</t>
  </si>
  <si>
    <t>074-15-000071</t>
  </si>
  <si>
    <t xml:space="preserve">Providing asphalting to Kasturi Layout Gangadhareshwara school   (front and back roads) in ward no.74  </t>
  </si>
  <si>
    <t>074-17-000054</t>
  </si>
  <si>
    <t>Maintenance of Street name boards in ward No.74 Shakthiganapathinagara</t>
  </si>
  <si>
    <t>N.Nagaraj</t>
  </si>
  <si>
    <t>074-17-000022</t>
  </si>
  <si>
    <t>Providing LED Streetlights timer switches and connected accessories to Shakthi Ganapathi Nagar in ward no 74</t>
  </si>
  <si>
    <t>The Executive Engineer -2</t>
  </si>
  <si>
    <t>074-18-000001</t>
  </si>
  <si>
    <t>Improvements to lighting system to kuvempu park in ward No.74</t>
  </si>
  <si>
    <t>074-17-000035</t>
  </si>
  <si>
    <t>Developmental work and compound wall in pipeline road at ward no 74</t>
  </si>
  <si>
    <t>074-17-000025</t>
  </si>
  <si>
    <t>Construction of RCC drain with covering slab at 1st A cross Kereyangala in ward no 74 Shakthiganapathinagar</t>
  </si>
  <si>
    <t>July</t>
  </si>
  <si>
    <t>074-18-000040</t>
  </si>
  <si>
    <t>Roads concrete and side drain work with covering slab in sanjay gandhinagar 1st cross road in ward no-74</t>
  </si>
  <si>
    <t>P1878</t>
  </si>
  <si>
    <t>18per - Works (Bhagyajyothi, Sooru / Neeru Yojane and General) (54 Lakhs / New Wards)</t>
  </si>
  <si>
    <t>074-18-000042</t>
  </si>
  <si>
    <t>Desilting of drain and resetting of foothpath at Kasturibainagar and surrounding area in ward no-74</t>
  </si>
  <si>
    <t>074-17-000077</t>
  </si>
  <si>
    <t>Providing Asphalting and improvements to drain 3rd cross BEML Layout in ward no 74</t>
  </si>
  <si>
    <t>P0190</t>
  </si>
  <si>
    <t>Works sanctioned by Hon Mayor</t>
  </si>
  <si>
    <t>August</t>
  </si>
  <si>
    <t>074-19-000014</t>
  </si>
  <si>
    <t>Construction of CC road and other development work at JC Nagar main and cross roads 2nd main road in Kamalanagar (sy.No 46) surrounding area in ward no 74 Shakthiganapathinagar</t>
  </si>
  <si>
    <t>P3409</t>
  </si>
  <si>
    <t>SFC Untied SC-SP/TSP Grant works</t>
  </si>
  <si>
    <t>074-18-000011</t>
  </si>
  <si>
    <t>Construction of RCC Drains at 1st cross road Sanajayagandhinagara slum in Ward No 74 (W0123)</t>
  </si>
  <si>
    <t>P3332</t>
  </si>
  <si>
    <t>Special Development works at Ward No. 02,12,22,23,24,25,30,31,37, 38,40,41,42,47,49,53,55,56,59,73,77,78,81,74,87,97,102,117,118,120,121,131,134,136,140,135,147,148,152,157,170,172,176 ( 43 wards Rs.4.00 Cr. Each)</t>
  </si>
  <si>
    <t>074-18-000012</t>
  </si>
  <si>
    <t>Construction of RCC Drains at 2nd cross road Sanajayagandhinagara slum in Ward No 74 (W0125)</t>
  </si>
  <si>
    <t>074-18-000013</t>
  </si>
  <si>
    <t>Construction of RCC Drains at 3rd cross road Sanajayagandhinagara slum in Ward No 74 (W0127)</t>
  </si>
  <si>
    <t>074-18-000017</t>
  </si>
  <si>
    <t>Providing CC to road at Chandranagar main road in Ward No 74</t>
  </si>
  <si>
    <t>074-19-000065</t>
  </si>
  <si>
    <t>Asphalting and other development works to Basaveshwaranagar 3rd stage, 4th block cross roads and surrounding area (Phase-III) at Ward No. 74, Shakthiganapathinagar</t>
  </si>
  <si>
    <t>074-19-000064</t>
  </si>
  <si>
    <t>Asphalting and other development works to Basaveshwaranagar 3rd stage, 4th block cross roads nd surrounding area (Phase-II) at Ward No. 74, Shakthiganapathinagar</t>
  </si>
  <si>
    <t>074-19-000063</t>
  </si>
  <si>
    <t>Asphalting and other development works to Basaveshwaranagar 3rd stage, 4th block cross roads and surrounding area (Phase-I) at Ward No. 74, Shakthiganapathinagar</t>
  </si>
  <si>
    <t>074-19-000056</t>
  </si>
  <si>
    <t>Constrction of CC road and other development works 10th and 11th cross roads and surrounding area in Basavanna temple main road Kereangala (Sy No. 30, 31) in Ward No. 74 Shakthiganapathinagar</t>
  </si>
  <si>
    <t>074-19-000057</t>
  </si>
  <si>
    <t>Providing Asphalting and other development works to NHCS Layout main roads and surroudning area in Ward No. 74, Shakthiganapathinagar</t>
  </si>
  <si>
    <t>074-19-000058</t>
  </si>
  <si>
    <t>Providng Asphalting and other development works to NHCS Layout cross roads surrounding area at Ward No. 74, Shakthiganapathinagar</t>
  </si>
  <si>
    <t>September</t>
  </si>
  <si>
    <t>074-18-000002</t>
  </si>
  <si>
    <t>Improvements to lighting system to park, play ground and street lights in Mahalakshmi Layout Constituency</t>
  </si>
  <si>
    <t>Executive Engineer KRDIL</t>
  </si>
  <si>
    <t>October</t>
  </si>
  <si>
    <t>M/s. Accord Consultants.,</t>
  </si>
  <si>
    <t>M/s. Mecadez Core Technologies Pvt. Ltd.,</t>
  </si>
  <si>
    <t>074-18-000023</t>
  </si>
  <si>
    <t>Improvements to roads and drains in Kasturi layout in Ward No 74</t>
  </si>
  <si>
    <t>074-19-000062</t>
  </si>
  <si>
    <t>Providing Asphalting and other development works to Basaveshwaranagar 3rd stage, 4th block main roads and surrounding area (Phase-II) at Ward No. 74, Shakthiganapathinagar</t>
  </si>
  <si>
    <t>074-19-000061</t>
  </si>
  <si>
    <t>Providing Asphalting and other development works to Basaveshwaranagar 3rd stage, 4th block main roads and surrounding area (Phase-I) at Ward No. 74, Shakthiganapathinagar</t>
  </si>
  <si>
    <t>074-19-000059</t>
  </si>
  <si>
    <t>Providing Asphalting and other development works to SBI staff colony main roads and surrouding area in Ward No. 74, Shakthiganapathinagar</t>
  </si>
  <si>
    <t>074-19-000060</t>
  </si>
  <si>
    <t>Providing Asphalting and other development works to SBI staff colony cross roads and surrouding area in Ward No. 74, Shakthiganapathinagar</t>
  </si>
  <si>
    <t>074-18-000059</t>
  </si>
  <si>
    <t>Providing Constructions .Repairs Maintenance infrastructure Upgradation to BBMP School College Building in ward no 74</t>
  </si>
  <si>
    <t>P3257</t>
  </si>
  <si>
    <t>Health Insurance for BBMP School/College Students</t>
  </si>
  <si>
    <t>074-17-000059</t>
  </si>
  <si>
    <t>Maintenance of Rangamandira at Shankarnag bus stop in ward No.74 Shakthiganapathinagara</t>
  </si>
  <si>
    <t>N.R.Mahesh</t>
  </si>
  <si>
    <t>November</t>
  </si>
  <si>
    <t>074-17-000068</t>
  </si>
  <si>
    <t>Construction of ward office 1st floor i n existing BBMP ward office in ward no 74</t>
  </si>
  <si>
    <t>074-19-000015</t>
  </si>
  <si>
    <t>Construction of CC road and other development work at Eastern side 6th 7th and 8th cross road and surrounding area in ward no 74 Shakthiganapathinagar</t>
  </si>
  <si>
    <t>074-19-000016</t>
  </si>
  <si>
    <t>Construction of CC road and other development work at Kamalanagar (Sy. No. 46) 3rd main road and surrounding area in ward no 74 Shakthiganapathinagar</t>
  </si>
  <si>
    <t>December</t>
  </si>
  <si>
    <t>074-19-000055</t>
  </si>
  <si>
    <t>Construction of Compound wall and other development works for Basavanna temple Kamalangar in Ward No. 74 Shakthiganapathinagar</t>
  </si>
  <si>
    <t>074-18-000039</t>
  </si>
  <si>
    <t>Roads concrete and side drain work with covering slab in kamalanagar 6th main road in ward no-74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</si>
</sst>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abSelected="1" workbookViewId="0">
      <selection activeCell="A2" sqref="A2:XFD53"/>
    </sheetView>
  </sheetViews>
  <sheetFormatPr defaultRowHeight="14.5" x14ac:dyDescent="0.35"/>
  <cols>
    <col min="1" max="1" width="5" bestFit="1" customWidth="1"/>
    <col min="2" max="2" width="6.26953125" bestFit="1" customWidth="1"/>
    <col min="3" max="3" width="8.6328125" bestFit="1" customWidth="1"/>
    <col min="4" max="4" width="8.08984375" bestFit="1" customWidth="1"/>
    <col min="5" max="5" width="20.5429687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2643</v>
      </c>
      <c r="B2" s="6" t="s">
        <v>28</v>
      </c>
      <c r="C2" s="7">
        <v>43563</v>
      </c>
      <c r="D2" s="8">
        <v>74</v>
      </c>
      <c r="E2" s="9" t="s">
        <v>53</v>
      </c>
      <c r="F2" s="8" t="s">
        <v>54</v>
      </c>
      <c r="G2" s="9" t="s">
        <v>55</v>
      </c>
      <c r="H2" s="8" t="str">
        <f>"000238"</f>
        <v>000238</v>
      </c>
      <c r="I2" s="7">
        <v>43482</v>
      </c>
      <c r="J2" s="8" t="str">
        <f>"000295"</f>
        <v>000295</v>
      </c>
      <c r="K2" s="7">
        <v>43514</v>
      </c>
      <c r="L2" s="8" t="str">
        <f>"000469"</f>
        <v>000469</v>
      </c>
      <c r="M2" s="7">
        <v>43515</v>
      </c>
      <c r="N2" s="8">
        <v>18</v>
      </c>
      <c r="O2" s="8" t="str">
        <f>"000054"</f>
        <v>000054</v>
      </c>
      <c r="P2" s="7">
        <v>43559</v>
      </c>
      <c r="Q2" s="10">
        <v>14.9872</v>
      </c>
      <c r="R2" s="10">
        <v>1.63222</v>
      </c>
      <c r="S2" s="10">
        <v>13.354979999999999</v>
      </c>
      <c r="T2" s="8">
        <v>4</v>
      </c>
      <c r="U2" s="7">
        <v>43563</v>
      </c>
      <c r="V2" s="8">
        <v>9900333496</v>
      </c>
      <c r="W2" s="9" t="s">
        <v>39</v>
      </c>
      <c r="X2" s="8" t="s">
        <v>50</v>
      </c>
      <c r="Y2" s="9" t="s">
        <v>51</v>
      </c>
      <c r="Z2" s="8" t="s">
        <v>42</v>
      </c>
      <c r="AA2" s="9" t="s">
        <v>43</v>
      </c>
      <c r="AB2" s="10">
        <f t="shared" ref="AB2:AB11" si="0">Q2/100</f>
        <v>0.14987200000000001</v>
      </c>
    </row>
    <row r="3" spans="1:28" s="4" customFormat="1" ht="13" x14ac:dyDescent="0.3">
      <c r="A3" s="5">
        <v>2644</v>
      </c>
      <c r="B3" s="6" t="s">
        <v>28</v>
      </c>
      <c r="C3" s="7">
        <v>43566</v>
      </c>
      <c r="D3" s="8">
        <v>74</v>
      </c>
      <c r="E3" s="9" t="s">
        <v>53</v>
      </c>
      <c r="F3" s="8" t="s">
        <v>56</v>
      </c>
      <c r="G3" s="9" t="s">
        <v>57</v>
      </c>
      <c r="H3" s="8" t="str">
        <f>"000232"</f>
        <v>000232</v>
      </c>
      <c r="I3" s="7">
        <v>43481</v>
      </c>
      <c r="J3" s="8" t="str">
        <f>"000311"</f>
        <v>000311</v>
      </c>
      <c r="K3" s="7">
        <v>43529</v>
      </c>
      <c r="L3" s="8" t="str">
        <f>"000500"</f>
        <v>000500</v>
      </c>
      <c r="M3" s="7">
        <v>43531</v>
      </c>
      <c r="N3" s="8">
        <v>17</v>
      </c>
      <c r="O3" s="8" t="str">
        <f>"000314"</f>
        <v>000314</v>
      </c>
      <c r="P3" s="7">
        <v>43565</v>
      </c>
      <c r="Q3" s="10">
        <v>1.4998800000000001</v>
      </c>
      <c r="R3" s="10">
        <v>0.14828</v>
      </c>
      <c r="S3" s="10">
        <v>1.3515999999999999</v>
      </c>
      <c r="T3" s="8">
        <v>16</v>
      </c>
      <c r="U3" s="7">
        <v>43566</v>
      </c>
      <c r="V3" s="8">
        <v>9900333496</v>
      </c>
      <c r="W3" s="9" t="s">
        <v>39</v>
      </c>
      <c r="X3" s="8" t="s">
        <v>37</v>
      </c>
      <c r="Y3" s="9" t="s">
        <v>38</v>
      </c>
      <c r="Z3" s="8" t="s">
        <v>42</v>
      </c>
      <c r="AA3" s="9" t="s">
        <v>43</v>
      </c>
      <c r="AB3" s="10">
        <f t="shared" si="0"/>
        <v>1.4998800000000001E-2</v>
      </c>
    </row>
    <row r="4" spans="1:28" s="4" customFormat="1" ht="13" x14ac:dyDescent="0.3">
      <c r="A4" s="5">
        <v>2645</v>
      </c>
      <c r="B4" s="6" t="s">
        <v>28</v>
      </c>
      <c r="C4" s="7">
        <v>43580</v>
      </c>
      <c r="D4" s="8">
        <v>74</v>
      </c>
      <c r="E4" s="9" t="s">
        <v>53</v>
      </c>
      <c r="F4" s="8" t="s">
        <v>58</v>
      </c>
      <c r="G4" s="9" t="s">
        <v>59</v>
      </c>
      <c r="H4" s="8" t="str">
        <f>"000019"</f>
        <v>000019</v>
      </c>
      <c r="I4" s="7">
        <v>42934</v>
      </c>
      <c r="J4" s="8" t="str">
        <f>"000186"</f>
        <v>000186</v>
      </c>
      <c r="K4" s="7">
        <v>42916</v>
      </c>
      <c r="L4" s="8" t="str">
        <f>"000378"</f>
        <v>000378</v>
      </c>
      <c r="M4" s="7">
        <v>42916</v>
      </c>
      <c r="N4" s="8">
        <v>17</v>
      </c>
      <c r="O4" s="8" t="str">
        <f>"000758"</f>
        <v>000758</v>
      </c>
      <c r="P4" s="7">
        <v>43578</v>
      </c>
      <c r="Q4" s="10">
        <v>24.76305</v>
      </c>
      <c r="R4" s="10">
        <v>3.6762899999999998</v>
      </c>
      <c r="S4" s="10">
        <v>21.086760000000002</v>
      </c>
      <c r="T4" s="8">
        <v>28</v>
      </c>
      <c r="U4" s="7">
        <v>43580</v>
      </c>
      <c r="V4" s="8">
        <v>9900333496</v>
      </c>
      <c r="W4" s="9" t="s">
        <v>39</v>
      </c>
      <c r="X4" s="8" t="s">
        <v>46</v>
      </c>
      <c r="Y4" s="9" t="s">
        <v>47</v>
      </c>
      <c r="Z4" s="8" t="s">
        <v>42</v>
      </c>
      <c r="AA4" s="9" t="s">
        <v>43</v>
      </c>
      <c r="AB4" s="10">
        <f t="shared" si="0"/>
        <v>0.2476305</v>
      </c>
    </row>
    <row r="5" spans="1:28" s="4" customFormat="1" ht="13" x14ac:dyDescent="0.3">
      <c r="A5" s="5">
        <v>2646</v>
      </c>
      <c r="B5" s="6" t="s">
        <v>28</v>
      </c>
      <c r="C5" s="7">
        <v>43580</v>
      </c>
      <c r="D5" s="8">
        <v>74</v>
      </c>
      <c r="E5" s="9" t="s">
        <v>53</v>
      </c>
      <c r="F5" s="8" t="s">
        <v>60</v>
      </c>
      <c r="G5" s="9" t="s">
        <v>61</v>
      </c>
      <c r="H5" s="8" t="str">
        <f>"000493"</f>
        <v>000493</v>
      </c>
      <c r="I5" s="7">
        <v>42808</v>
      </c>
      <c r="J5" s="8" t="str">
        <f>"000195"</f>
        <v>000195</v>
      </c>
      <c r="K5" s="7">
        <v>42916</v>
      </c>
      <c r="L5" s="8" t="str">
        <f>"000387"</f>
        <v>000387</v>
      </c>
      <c r="M5" s="7">
        <v>42916</v>
      </c>
      <c r="N5" s="8">
        <v>17</v>
      </c>
      <c r="O5" s="8" t="str">
        <f>"000764"</f>
        <v>000764</v>
      </c>
      <c r="P5" s="7">
        <v>43578</v>
      </c>
      <c r="Q5" s="10">
        <v>14.82593</v>
      </c>
      <c r="R5" s="10">
        <v>2.2385799999999998</v>
      </c>
      <c r="S5" s="10">
        <v>12.587350000000001</v>
      </c>
      <c r="T5" s="8">
        <v>28</v>
      </c>
      <c r="U5" s="7">
        <v>43580</v>
      </c>
      <c r="V5" s="8">
        <v>9900333496</v>
      </c>
      <c r="W5" s="9" t="s">
        <v>39</v>
      </c>
      <c r="X5" s="8" t="s">
        <v>46</v>
      </c>
      <c r="Y5" s="9" t="s">
        <v>47</v>
      </c>
      <c r="Z5" s="8" t="s">
        <v>42</v>
      </c>
      <c r="AA5" s="9" t="s">
        <v>43</v>
      </c>
      <c r="AB5" s="10">
        <f t="shared" si="0"/>
        <v>0.14825929999999998</v>
      </c>
    </row>
    <row r="6" spans="1:28" s="4" customFormat="1" ht="13" x14ac:dyDescent="0.3">
      <c r="A6" s="5">
        <v>2647</v>
      </c>
      <c r="B6" s="6" t="s">
        <v>28</v>
      </c>
      <c r="C6" s="7">
        <v>43582</v>
      </c>
      <c r="D6" s="8">
        <v>74</v>
      </c>
      <c r="E6" s="9" t="s">
        <v>53</v>
      </c>
      <c r="F6" s="8" t="s">
        <v>62</v>
      </c>
      <c r="G6" s="9" t="s">
        <v>63</v>
      </c>
      <c r="H6" s="8" t="str">
        <f>"000013"</f>
        <v>000013</v>
      </c>
      <c r="I6" s="7">
        <v>42933</v>
      </c>
      <c r="J6" s="8" t="str">
        <f>"000191"</f>
        <v>000191</v>
      </c>
      <c r="K6" s="7">
        <v>43479</v>
      </c>
      <c r="L6" s="8" t="str">
        <f>"000189"</f>
        <v>000189</v>
      </c>
      <c r="M6" s="7">
        <v>43479</v>
      </c>
      <c r="N6" s="8">
        <v>16</v>
      </c>
      <c r="O6" s="8" t="str">
        <f>"001122"</f>
        <v>001122</v>
      </c>
      <c r="P6" s="7">
        <v>43581</v>
      </c>
      <c r="Q6" s="10">
        <v>21.025580000000001</v>
      </c>
      <c r="R6" s="10">
        <v>2.0785399999999998</v>
      </c>
      <c r="S6" s="10">
        <v>18.947040000000001</v>
      </c>
      <c r="T6" s="8">
        <v>32</v>
      </c>
      <c r="U6" s="7">
        <v>43582</v>
      </c>
      <c r="V6" s="8">
        <v>9916368736</v>
      </c>
      <c r="W6" s="9" t="s">
        <v>64</v>
      </c>
      <c r="X6" s="8" t="s">
        <v>29</v>
      </c>
      <c r="Y6" s="9" t="s">
        <v>30</v>
      </c>
      <c r="Z6" s="8" t="s">
        <v>44</v>
      </c>
      <c r="AA6" s="9" t="s">
        <v>45</v>
      </c>
      <c r="AB6" s="10">
        <f t="shared" si="0"/>
        <v>0.21025580000000002</v>
      </c>
    </row>
    <row r="7" spans="1:28" s="4" customFormat="1" ht="13" x14ac:dyDescent="0.3">
      <c r="A7" s="5">
        <v>2648</v>
      </c>
      <c r="B7" s="6" t="s">
        <v>34</v>
      </c>
      <c r="C7" s="7">
        <v>43603</v>
      </c>
      <c r="D7" s="8">
        <v>74</v>
      </c>
      <c r="E7" s="9" t="s">
        <v>53</v>
      </c>
      <c r="F7" s="8" t="s">
        <v>87</v>
      </c>
      <c r="G7" s="9" t="s">
        <v>88</v>
      </c>
      <c r="H7" s="8" t="str">
        <f>"000039"</f>
        <v>000039</v>
      </c>
      <c r="I7" s="7">
        <v>42879</v>
      </c>
      <c r="J7" s="8" t="str">
        <f>"000015"</f>
        <v>000015</v>
      </c>
      <c r="K7" s="7">
        <v>42977</v>
      </c>
      <c r="L7" s="8" t="str">
        <f>"000017"</f>
        <v>000017</v>
      </c>
      <c r="M7" s="7">
        <v>42977</v>
      </c>
      <c r="N7" s="8">
        <v>17</v>
      </c>
      <c r="O7" s="8" t="str">
        <f>"001724"</f>
        <v>001724</v>
      </c>
      <c r="P7" s="7">
        <v>43602</v>
      </c>
      <c r="Q7" s="10">
        <v>17.38101</v>
      </c>
      <c r="R7" s="10">
        <v>1.08643</v>
      </c>
      <c r="S7" s="10">
        <v>16.29458</v>
      </c>
      <c r="T7" s="8">
        <v>50</v>
      </c>
      <c r="U7" s="7">
        <v>43603</v>
      </c>
      <c r="V7" s="8">
        <v>9341217102</v>
      </c>
      <c r="W7" s="9" t="s">
        <v>89</v>
      </c>
      <c r="X7" s="8" t="s">
        <v>32</v>
      </c>
      <c r="Y7" s="9" t="s">
        <v>33</v>
      </c>
      <c r="Z7" s="8" t="s">
        <v>42</v>
      </c>
      <c r="AA7" s="9" t="s">
        <v>43</v>
      </c>
      <c r="AB7" s="10">
        <f t="shared" si="0"/>
        <v>0.1738101</v>
      </c>
    </row>
    <row r="8" spans="1:28" s="4" customFormat="1" ht="13" x14ac:dyDescent="0.3">
      <c r="A8" s="5">
        <v>2649</v>
      </c>
      <c r="B8" s="6" t="s">
        <v>34</v>
      </c>
      <c r="C8" s="7">
        <v>43610</v>
      </c>
      <c r="D8" s="8">
        <v>74</v>
      </c>
      <c r="E8" s="9" t="s">
        <v>53</v>
      </c>
      <c r="F8" s="8" t="s">
        <v>90</v>
      </c>
      <c r="G8" s="9" t="s">
        <v>91</v>
      </c>
      <c r="H8" s="8" t="str">
        <f>"000080"</f>
        <v>000080</v>
      </c>
      <c r="I8" s="7">
        <v>43098</v>
      </c>
      <c r="J8" s="8" t="str">
        <f>"000091"</f>
        <v>000091</v>
      </c>
      <c r="K8" s="7">
        <v>43150</v>
      </c>
      <c r="L8" s="8" t="str">
        <f>"000118"</f>
        <v>000118</v>
      </c>
      <c r="M8" s="7">
        <v>43150</v>
      </c>
      <c r="N8" s="8">
        <v>17</v>
      </c>
      <c r="O8" s="8" t="str">
        <f>"002007"</f>
        <v>002007</v>
      </c>
      <c r="P8" s="7">
        <v>43608</v>
      </c>
      <c r="Q8" s="10">
        <v>49.959679999999999</v>
      </c>
      <c r="R8" s="10">
        <v>6.2953599999999996</v>
      </c>
      <c r="S8" s="10">
        <v>43.664319999999996</v>
      </c>
      <c r="T8" s="8">
        <v>59</v>
      </c>
      <c r="U8" s="7">
        <v>43610</v>
      </c>
      <c r="V8" s="8">
        <v>9845008155</v>
      </c>
      <c r="W8" s="9" t="s">
        <v>92</v>
      </c>
      <c r="X8" s="8" t="s">
        <v>40</v>
      </c>
      <c r="Y8" s="9" t="s">
        <v>41</v>
      </c>
      <c r="Z8" s="8" t="s">
        <v>44</v>
      </c>
      <c r="AA8" s="9" t="s">
        <v>45</v>
      </c>
      <c r="AB8" s="10">
        <f t="shared" si="0"/>
        <v>0.49959680000000001</v>
      </c>
    </row>
    <row r="9" spans="1:28" s="4" customFormat="1" ht="13" x14ac:dyDescent="0.3">
      <c r="A9" s="5">
        <v>2650</v>
      </c>
      <c r="B9" s="6" t="s">
        <v>34</v>
      </c>
      <c r="C9" s="7">
        <v>43610</v>
      </c>
      <c r="D9" s="8">
        <v>74</v>
      </c>
      <c r="E9" s="9" t="s">
        <v>53</v>
      </c>
      <c r="F9" s="8" t="s">
        <v>93</v>
      </c>
      <c r="G9" s="9" t="s">
        <v>94</v>
      </c>
      <c r="H9" s="8" t="str">
        <f>"000117"</f>
        <v>000117</v>
      </c>
      <c r="I9" s="7">
        <v>43137</v>
      </c>
      <c r="J9" s="8" t="str">
        <f>"000099"</f>
        <v>000099</v>
      </c>
      <c r="K9" s="7">
        <v>43154</v>
      </c>
      <c r="L9" s="8" t="str">
        <f>"000127"</f>
        <v>000127</v>
      </c>
      <c r="M9" s="7">
        <v>43154</v>
      </c>
      <c r="N9" s="8">
        <v>18</v>
      </c>
      <c r="O9" s="8" t="str">
        <f>"002009"</f>
        <v>002009</v>
      </c>
      <c r="P9" s="7">
        <v>43608</v>
      </c>
      <c r="Q9" s="10">
        <v>14.98995</v>
      </c>
      <c r="R9" s="10">
        <v>1.88883</v>
      </c>
      <c r="S9" s="10">
        <v>13.10112</v>
      </c>
      <c r="T9" s="8">
        <v>59</v>
      </c>
      <c r="U9" s="7">
        <v>43610</v>
      </c>
      <c r="V9" s="8">
        <v>9845008155</v>
      </c>
      <c r="W9" s="9" t="s">
        <v>52</v>
      </c>
      <c r="X9" s="8" t="s">
        <v>46</v>
      </c>
      <c r="Y9" s="9" t="s">
        <v>47</v>
      </c>
      <c r="Z9" s="8" t="s">
        <v>44</v>
      </c>
      <c r="AA9" s="9" t="s">
        <v>45</v>
      </c>
      <c r="AB9" s="10">
        <f t="shared" si="0"/>
        <v>0.14989949999999999</v>
      </c>
    </row>
    <row r="10" spans="1:28" s="4" customFormat="1" ht="13" x14ac:dyDescent="0.3">
      <c r="A10" s="5">
        <v>2651</v>
      </c>
      <c r="B10" s="6" t="s">
        <v>34</v>
      </c>
      <c r="C10" s="7">
        <v>43615</v>
      </c>
      <c r="D10" s="8">
        <v>74</v>
      </c>
      <c r="E10" s="9" t="s">
        <v>53</v>
      </c>
      <c r="F10" s="8" t="s">
        <v>95</v>
      </c>
      <c r="G10" s="9" t="s">
        <v>96</v>
      </c>
      <c r="H10" s="8" t="str">
        <f>"000426"</f>
        <v>000426</v>
      </c>
      <c r="I10" s="7">
        <v>42786</v>
      </c>
      <c r="J10" s="8" t="str">
        <f>"000004"</f>
        <v>000004</v>
      </c>
      <c r="K10" s="7">
        <v>42952</v>
      </c>
      <c r="L10" s="8" t="str">
        <f>"000008"</f>
        <v>000008</v>
      </c>
      <c r="M10" s="7">
        <v>42952</v>
      </c>
      <c r="N10" s="8">
        <v>17</v>
      </c>
      <c r="O10" s="8" t="str">
        <f>"002132"</f>
        <v>002132</v>
      </c>
      <c r="P10" s="7">
        <v>43613</v>
      </c>
      <c r="Q10" s="10">
        <v>9.8962000000000003</v>
      </c>
      <c r="R10" s="10">
        <v>1.35602</v>
      </c>
      <c r="S10" s="10">
        <v>8.5401799999999994</v>
      </c>
      <c r="T10" s="8">
        <v>65</v>
      </c>
      <c r="U10" s="7">
        <v>43615</v>
      </c>
      <c r="V10" s="8">
        <v>9900333496</v>
      </c>
      <c r="W10" s="9" t="s">
        <v>39</v>
      </c>
      <c r="X10" s="8" t="s">
        <v>40</v>
      </c>
      <c r="Y10" s="9" t="s">
        <v>41</v>
      </c>
      <c r="Z10" s="8" t="s">
        <v>42</v>
      </c>
      <c r="AA10" s="9" t="s">
        <v>43</v>
      </c>
      <c r="AB10" s="10">
        <f t="shared" si="0"/>
        <v>9.8962000000000008E-2</v>
      </c>
    </row>
    <row r="11" spans="1:28" s="4" customFormat="1" ht="13" x14ac:dyDescent="0.3">
      <c r="A11" s="5">
        <v>2652</v>
      </c>
      <c r="B11" s="6" t="s">
        <v>34</v>
      </c>
      <c r="C11" s="7">
        <v>43615</v>
      </c>
      <c r="D11" s="8">
        <v>74</v>
      </c>
      <c r="E11" s="9" t="s">
        <v>53</v>
      </c>
      <c r="F11" s="8" t="s">
        <v>97</v>
      </c>
      <c r="G11" s="9" t="s">
        <v>98</v>
      </c>
      <c r="H11" s="8" t="str">
        <f>"000350"</f>
        <v>000350</v>
      </c>
      <c r="I11" s="7">
        <v>42690</v>
      </c>
      <c r="J11" s="8" t="str">
        <f>"000059"</f>
        <v>000059</v>
      </c>
      <c r="K11" s="7">
        <v>43046</v>
      </c>
      <c r="L11" s="8" t="str">
        <f>"000106"</f>
        <v>000106</v>
      </c>
      <c r="M11" s="7">
        <v>43046</v>
      </c>
      <c r="N11" s="8">
        <v>17</v>
      </c>
      <c r="O11" s="8" t="str">
        <f>"002141"</f>
        <v>002141</v>
      </c>
      <c r="P11" s="7">
        <v>43613</v>
      </c>
      <c r="Q11" s="10">
        <v>14.83872</v>
      </c>
      <c r="R11" s="10">
        <v>2.1604899999999998</v>
      </c>
      <c r="S11" s="10">
        <v>12.678229999999999</v>
      </c>
      <c r="T11" s="8">
        <v>65</v>
      </c>
      <c r="U11" s="7">
        <v>43615</v>
      </c>
      <c r="V11" s="8">
        <v>9900333496</v>
      </c>
      <c r="W11" s="9" t="s">
        <v>39</v>
      </c>
      <c r="X11" s="8" t="s">
        <v>40</v>
      </c>
      <c r="Y11" s="9" t="s">
        <v>41</v>
      </c>
      <c r="Z11" s="8" t="s">
        <v>42</v>
      </c>
      <c r="AA11" s="9" t="s">
        <v>43</v>
      </c>
      <c r="AB11" s="10">
        <f t="shared" si="0"/>
        <v>0.1483872</v>
      </c>
    </row>
    <row r="12" spans="1:28" s="4" customFormat="1" ht="13" x14ac:dyDescent="0.3">
      <c r="A12" s="5">
        <v>2653</v>
      </c>
      <c r="B12" s="6" t="s">
        <v>31</v>
      </c>
      <c r="C12" s="7">
        <v>43628</v>
      </c>
      <c r="D12" s="8">
        <v>74</v>
      </c>
      <c r="E12" s="9" t="s">
        <v>53</v>
      </c>
      <c r="F12" s="8" t="s">
        <v>65</v>
      </c>
      <c r="G12" s="9" t="s">
        <v>66</v>
      </c>
      <c r="H12" s="8" t="str">
        <f>"000193"</f>
        <v>000193</v>
      </c>
      <c r="I12" s="7">
        <v>42601</v>
      </c>
      <c r="J12" s="8" t="str">
        <f>"000081"</f>
        <v>000081</v>
      </c>
      <c r="K12" s="7">
        <v>43082</v>
      </c>
      <c r="L12" s="8" t="str">
        <f>"000129"</f>
        <v>000129</v>
      </c>
      <c r="M12" s="7">
        <v>43082</v>
      </c>
      <c r="N12" s="8">
        <v>17</v>
      </c>
      <c r="O12" s="8" t="str">
        <f>"002569"</f>
        <v>002569</v>
      </c>
      <c r="P12" s="7">
        <v>43627</v>
      </c>
      <c r="Q12" s="10">
        <v>19.796040000000001</v>
      </c>
      <c r="R12" s="10">
        <v>2.8374100000000002</v>
      </c>
      <c r="S12" s="10">
        <v>16.958629999999999</v>
      </c>
      <c r="T12" s="8">
        <v>76</v>
      </c>
      <c r="U12" s="7">
        <v>43628</v>
      </c>
      <c r="V12" s="8">
        <v>9900333496</v>
      </c>
      <c r="W12" s="9" t="s">
        <v>39</v>
      </c>
      <c r="X12" s="8" t="s">
        <v>46</v>
      </c>
      <c r="Y12" s="9" t="s">
        <v>47</v>
      </c>
      <c r="Z12" s="8" t="s">
        <v>42</v>
      </c>
      <c r="AA12" s="9" t="s">
        <v>43</v>
      </c>
      <c r="AB12" s="10">
        <v>0.19796040000000001</v>
      </c>
    </row>
    <row r="13" spans="1:28" s="4" customFormat="1" ht="13" x14ac:dyDescent="0.3">
      <c r="A13" s="5">
        <v>2654</v>
      </c>
      <c r="B13" s="6" t="s">
        <v>31</v>
      </c>
      <c r="C13" s="7">
        <v>43629</v>
      </c>
      <c r="D13" s="8">
        <v>74</v>
      </c>
      <c r="E13" s="9" t="s">
        <v>53</v>
      </c>
      <c r="F13" s="8" t="s">
        <v>67</v>
      </c>
      <c r="G13" s="9" t="s">
        <v>68</v>
      </c>
      <c r="H13" s="8" t="str">
        <f>"000444"</f>
        <v>000444</v>
      </c>
      <c r="I13" s="7">
        <v>43542</v>
      </c>
      <c r="J13" s="8" t="str">
        <f>"000040"</f>
        <v>000040</v>
      </c>
      <c r="K13" s="7">
        <v>43599</v>
      </c>
      <c r="L13" s="8" t="str">
        <f>"000058"</f>
        <v>000058</v>
      </c>
      <c r="M13" s="7">
        <v>43601</v>
      </c>
      <c r="N13" s="8">
        <v>19</v>
      </c>
      <c r="O13" s="8" t="str">
        <f>"002535"</f>
        <v>002535</v>
      </c>
      <c r="P13" s="7">
        <v>43623</v>
      </c>
      <c r="Q13" s="10">
        <v>24.558620000000001</v>
      </c>
      <c r="R13" s="10">
        <v>3.2217099999999999</v>
      </c>
      <c r="S13" s="10">
        <v>21.33691</v>
      </c>
      <c r="T13" s="8">
        <v>81</v>
      </c>
      <c r="U13" s="7">
        <v>43629</v>
      </c>
      <c r="V13" s="8">
        <v>9900333496</v>
      </c>
      <c r="W13" s="9" t="s">
        <v>39</v>
      </c>
      <c r="X13" s="8" t="s">
        <v>35</v>
      </c>
      <c r="Y13" s="9" t="s">
        <v>36</v>
      </c>
      <c r="Z13" s="8" t="s">
        <v>42</v>
      </c>
      <c r="AA13" s="9" t="s">
        <v>43</v>
      </c>
      <c r="AB13" s="10">
        <v>0.2455862</v>
      </c>
    </row>
    <row r="14" spans="1:28" s="4" customFormat="1" ht="13" x14ac:dyDescent="0.3">
      <c r="A14" s="5">
        <v>2655</v>
      </c>
      <c r="B14" s="6" t="s">
        <v>31</v>
      </c>
      <c r="C14" s="7">
        <v>43629</v>
      </c>
      <c r="D14" s="8">
        <v>74</v>
      </c>
      <c r="E14" s="9" t="s">
        <v>53</v>
      </c>
      <c r="F14" s="8" t="s">
        <v>69</v>
      </c>
      <c r="G14" s="9" t="s">
        <v>70</v>
      </c>
      <c r="H14" s="8" t="str">
        <f>"000453"</f>
        <v>000453</v>
      </c>
      <c r="I14" s="7">
        <v>43543</v>
      </c>
      <c r="J14" s="8" t="str">
        <f>"000038"</f>
        <v>000038</v>
      </c>
      <c r="K14" s="7">
        <v>43599</v>
      </c>
      <c r="L14" s="8" t="str">
        <f>"000057"</f>
        <v>000057</v>
      </c>
      <c r="M14" s="7">
        <v>43601</v>
      </c>
      <c r="N14" s="8">
        <v>19</v>
      </c>
      <c r="O14" s="8" t="str">
        <f>"002536"</f>
        <v>002536</v>
      </c>
      <c r="P14" s="7">
        <v>43623</v>
      </c>
      <c r="Q14" s="10">
        <v>24.56185</v>
      </c>
      <c r="R14" s="10">
        <v>3.0556999999999999</v>
      </c>
      <c r="S14" s="10">
        <v>21.506150000000002</v>
      </c>
      <c r="T14" s="8">
        <v>81</v>
      </c>
      <c r="U14" s="7">
        <v>43629</v>
      </c>
      <c r="V14" s="8">
        <v>9900333496</v>
      </c>
      <c r="W14" s="9" t="s">
        <v>39</v>
      </c>
      <c r="X14" s="8" t="s">
        <v>35</v>
      </c>
      <c r="Y14" s="9" t="s">
        <v>36</v>
      </c>
      <c r="Z14" s="8" t="s">
        <v>42</v>
      </c>
      <c r="AA14" s="9" t="s">
        <v>43</v>
      </c>
      <c r="AB14" s="10">
        <v>0.24561849999999999</v>
      </c>
    </row>
    <row r="15" spans="1:28" s="4" customFormat="1" ht="13" x14ac:dyDescent="0.3">
      <c r="A15" s="5">
        <v>2656</v>
      </c>
      <c r="B15" s="6" t="s">
        <v>31</v>
      </c>
      <c r="C15" s="7">
        <v>43629</v>
      </c>
      <c r="D15" s="8">
        <v>74</v>
      </c>
      <c r="E15" s="9" t="s">
        <v>53</v>
      </c>
      <c r="F15" s="8" t="s">
        <v>71</v>
      </c>
      <c r="G15" s="9" t="s">
        <v>72</v>
      </c>
      <c r="H15" s="8" t="str">
        <f>"000443"</f>
        <v>000443</v>
      </c>
      <c r="I15" s="7">
        <v>43542</v>
      </c>
      <c r="J15" s="8" t="str">
        <f>"000041"</f>
        <v>000041</v>
      </c>
      <c r="K15" s="7">
        <v>43599</v>
      </c>
      <c r="L15" s="8" t="str">
        <f>"000055"</f>
        <v>000055</v>
      </c>
      <c r="M15" s="7">
        <v>43601</v>
      </c>
      <c r="N15" s="8">
        <v>19</v>
      </c>
      <c r="O15" s="8" t="str">
        <f>"002537"</f>
        <v>002537</v>
      </c>
      <c r="P15" s="7">
        <v>43623</v>
      </c>
      <c r="Q15" s="10">
        <v>24.569739999999999</v>
      </c>
      <c r="R15" s="10">
        <v>3.1249400000000001</v>
      </c>
      <c r="S15" s="10">
        <v>21.444800000000001</v>
      </c>
      <c r="T15" s="8">
        <v>81</v>
      </c>
      <c r="U15" s="7">
        <v>43629</v>
      </c>
      <c r="V15" s="8">
        <v>9900333496</v>
      </c>
      <c r="W15" s="9" t="s">
        <v>39</v>
      </c>
      <c r="X15" s="8" t="s">
        <v>35</v>
      </c>
      <c r="Y15" s="9" t="s">
        <v>36</v>
      </c>
      <c r="Z15" s="8" t="s">
        <v>42</v>
      </c>
      <c r="AA15" s="9" t="s">
        <v>43</v>
      </c>
      <c r="AB15" s="10">
        <v>0.24569739999999998</v>
      </c>
    </row>
    <row r="16" spans="1:28" s="4" customFormat="1" ht="13" x14ac:dyDescent="0.3">
      <c r="A16" s="5">
        <v>2657</v>
      </c>
      <c r="B16" s="6" t="s">
        <v>31</v>
      </c>
      <c r="C16" s="7">
        <v>43629</v>
      </c>
      <c r="D16" s="8">
        <v>74</v>
      </c>
      <c r="E16" s="9" t="s">
        <v>53</v>
      </c>
      <c r="F16" s="8" t="s">
        <v>73</v>
      </c>
      <c r="G16" s="9" t="s">
        <v>74</v>
      </c>
      <c r="H16" s="8" t="str">
        <f>"000467"</f>
        <v>000467</v>
      </c>
      <c r="I16" s="7">
        <v>43544</v>
      </c>
      <c r="J16" s="8" t="str">
        <f>"000039"</f>
        <v>000039</v>
      </c>
      <c r="K16" s="7">
        <v>43599</v>
      </c>
      <c r="L16" s="8" t="str">
        <f>"000059"</f>
        <v>000059</v>
      </c>
      <c r="M16" s="7">
        <v>43601</v>
      </c>
      <c r="N16" s="8">
        <v>19</v>
      </c>
      <c r="O16" s="8" t="str">
        <f>"002539"</f>
        <v>002539</v>
      </c>
      <c r="P16" s="7">
        <v>43623</v>
      </c>
      <c r="Q16" s="10">
        <v>24.572669999999999</v>
      </c>
      <c r="R16" s="10">
        <v>3.1074700000000002</v>
      </c>
      <c r="S16" s="10">
        <v>21.465199999999999</v>
      </c>
      <c r="T16" s="8">
        <v>81</v>
      </c>
      <c r="U16" s="7">
        <v>43629</v>
      </c>
      <c r="V16" s="8">
        <v>9900333496</v>
      </c>
      <c r="W16" s="9" t="s">
        <v>39</v>
      </c>
      <c r="X16" s="8" t="s">
        <v>35</v>
      </c>
      <c r="Y16" s="9" t="s">
        <v>36</v>
      </c>
      <c r="Z16" s="8" t="s">
        <v>42</v>
      </c>
      <c r="AA16" s="9" t="s">
        <v>43</v>
      </c>
      <c r="AB16" s="10">
        <v>0.24572669999999999</v>
      </c>
    </row>
    <row r="17" spans="1:28" s="4" customFormat="1" ht="13" x14ac:dyDescent="0.3">
      <c r="A17" s="5">
        <v>2658</v>
      </c>
      <c r="B17" s="6" t="s">
        <v>31</v>
      </c>
      <c r="C17" s="7">
        <v>43633</v>
      </c>
      <c r="D17" s="8">
        <v>74</v>
      </c>
      <c r="E17" s="9" t="s">
        <v>53</v>
      </c>
      <c r="F17" s="8" t="s">
        <v>75</v>
      </c>
      <c r="G17" s="9" t="s">
        <v>76</v>
      </c>
      <c r="H17" s="8" t="str">
        <f>"000446"</f>
        <v>000446</v>
      </c>
      <c r="I17" s="7">
        <v>43543</v>
      </c>
      <c r="J17" s="8" t="str">
        <f>"000037"</f>
        <v>000037</v>
      </c>
      <c r="K17" s="7">
        <v>43599</v>
      </c>
      <c r="L17" s="8" t="str">
        <f>"000056"</f>
        <v>000056</v>
      </c>
      <c r="M17" s="7">
        <v>43601</v>
      </c>
      <c r="N17" s="8">
        <v>19</v>
      </c>
      <c r="O17" s="8" t="str">
        <f>"002752"</f>
        <v>002752</v>
      </c>
      <c r="P17" s="7">
        <v>43630</v>
      </c>
      <c r="Q17" s="10">
        <v>29.47486</v>
      </c>
      <c r="R17" s="10">
        <v>3.6579299999999999</v>
      </c>
      <c r="S17" s="10">
        <v>25.816929999999999</v>
      </c>
      <c r="T17" s="8">
        <v>84</v>
      </c>
      <c r="U17" s="7">
        <v>43633</v>
      </c>
      <c r="V17" s="8">
        <v>9900333496</v>
      </c>
      <c r="W17" s="9" t="s">
        <v>39</v>
      </c>
      <c r="X17" s="8" t="s">
        <v>35</v>
      </c>
      <c r="Y17" s="9" t="s">
        <v>36</v>
      </c>
      <c r="Z17" s="8" t="s">
        <v>42</v>
      </c>
      <c r="AA17" s="9" t="s">
        <v>43</v>
      </c>
      <c r="AB17" s="10">
        <v>0.29474859999999997</v>
      </c>
    </row>
    <row r="18" spans="1:28" s="4" customFormat="1" ht="13" x14ac:dyDescent="0.3">
      <c r="A18" s="5">
        <v>2659</v>
      </c>
      <c r="B18" s="6" t="s">
        <v>31</v>
      </c>
      <c r="C18" s="7">
        <v>43634</v>
      </c>
      <c r="D18" s="8">
        <v>74</v>
      </c>
      <c r="E18" s="9" t="s">
        <v>53</v>
      </c>
      <c r="F18" s="8" t="s">
        <v>77</v>
      </c>
      <c r="G18" s="9" t="s">
        <v>78</v>
      </c>
      <c r="H18" s="8" t="str">
        <f>"000512"</f>
        <v>000512</v>
      </c>
      <c r="I18" s="7">
        <v>42094</v>
      </c>
      <c r="J18" s="8" t="str">
        <f>"000077"</f>
        <v>000077</v>
      </c>
      <c r="K18" s="7">
        <v>43082</v>
      </c>
      <c r="L18" s="8" t="str">
        <f>"000125"</f>
        <v>000125</v>
      </c>
      <c r="M18" s="7">
        <v>43082</v>
      </c>
      <c r="N18" s="8">
        <v>15</v>
      </c>
      <c r="O18" s="8" t="str">
        <f>"002670"</f>
        <v>002670</v>
      </c>
      <c r="P18" s="7">
        <v>43628</v>
      </c>
      <c r="Q18" s="10">
        <v>9.9123400000000004</v>
      </c>
      <c r="R18" s="10">
        <v>1.3660699999999999</v>
      </c>
      <c r="S18" s="10">
        <v>8.5462699999999998</v>
      </c>
      <c r="T18" s="8">
        <v>88</v>
      </c>
      <c r="U18" s="7">
        <v>43634</v>
      </c>
      <c r="V18" s="8">
        <v>9900333496</v>
      </c>
      <c r="W18" s="9" t="s">
        <v>39</v>
      </c>
      <c r="X18" s="8" t="s">
        <v>48</v>
      </c>
      <c r="Y18" s="9" t="s">
        <v>49</v>
      </c>
      <c r="Z18" s="8" t="s">
        <v>42</v>
      </c>
      <c r="AA18" s="9" t="s">
        <v>43</v>
      </c>
      <c r="AB18" s="10">
        <v>9.91234E-2</v>
      </c>
    </row>
    <row r="19" spans="1:28" s="4" customFormat="1" ht="13" x14ac:dyDescent="0.3">
      <c r="A19" s="5">
        <v>2660</v>
      </c>
      <c r="B19" s="6" t="s">
        <v>31</v>
      </c>
      <c r="C19" s="7">
        <v>43634</v>
      </c>
      <c r="D19" s="8">
        <v>74</v>
      </c>
      <c r="E19" s="9" t="s">
        <v>53</v>
      </c>
      <c r="F19" s="8" t="s">
        <v>79</v>
      </c>
      <c r="G19" s="9" t="s">
        <v>80</v>
      </c>
      <c r="H19" s="8" t="str">
        <f>"000511"</f>
        <v>000511</v>
      </c>
      <c r="I19" s="7">
        <v>42094</v>
      </c>
      <c r="J19" s="8" t="str">
        <f>"000078"</f>
        <v>000078</v>
      </c>
      <c r="K19" s="7">
        <v>43082</v>
      </c>
      <c r="L19" s="8" t="str">
        <f>"000126"</f>
        <v>000126</v>
      </c>
      <c r="M19" s="7">
        <v>43082</v>
      </c>
      <c r="N19" s="8">
        <v>15</v>
      </c>
      <c r="O19" s="8" t="str">
        <f>"002671"</f>
        <v>002671</v>
      </c>
      <c r="P19" s="7">
        <v>43628</v>
      </c>
      <c r="Q19" s="10">
        <v>9.9500799999999998</v>
      </c>
      <c r="R19" s="10">
        <v>1.3706400000000001</v>
      </c>
      <c r="S19" s="10">
        <v>8.57944</v>
      </c>
      <c r="T19" s="8">
        <v>88</v>
      </c>
      <c r="U19" s="7">
        <v>43634</v>
      </c>
      <c r="V19" s="8">
        <v>9900333496</v>
      </c>
      <c r="W19" s="9" t="s">
        <v>39</v>
      </c>
      <c r="X19" s="8" t="s">
        <v>48</v>
      </c>
      <c r="Y19" s="9" t="s">
        <v>49</v>
      </c>
      <c r="Z19" s="8" t="s">
        <v>42</v>
      </c>
      <c r="AA19" s="9" t="s">
        <v>43</v>
      </c>
      <c r="AB19" s="10">
        <v>9.95008E-2</v>
      </c>
    </row>
    <row r="20" spans="1:28" s="4" customFormat="1" ht="13" x14ac:dyDescent="0.3">
      <c r="A20" s="5">
        <v>2661</v>
      </c>
      <c r="B20" s="6" t="s">
        <v>31</v>
      </c>
      <c r="C20" s="7">
        <v>43634</v>
      </c>
      <c r="D20" s="8">
        <v>74</v>
      </c>
      <c r="E20" s="9" t="s">
        <v>53</v>
      </c>
      <c r="F20" s="8" t="s">
        <v>81</v>
      </c>
      <c r="G20" s="9" t="s">
        <v>82</v>
      </c>
      <c r="H20" s="8" t="str">
        <f>"000510"</f>
        <v>000510</v>
      </c>
      <c r="I20" s="7">
        <v>42094</v>
      </c>
      <c r="J20" s="8" t="str">
        <f>"000079"</f>
        <v>000079</v>
      </c>
      <c r="K20" s="7">
        <v>43082</v>
      </c>
      <c r="L20" s="8" t="str">
        <f>"000127"</f>
        <v>000127</v>
      </c>
      <c r="M20" s="7">
        <v>43082</v>
      </c>
      <c r="N20" s="8">
        <v>15</v>
      </c>
      <c r="O20" s="8" t="str">
        <f>"002672"</f>
        <v>002672</v>
      </c>
      <c r="P20" s="7">
        <v>43628</v>
      </c>
      <c r="Q20" s="10">
        <v>9.9956999999999994</v>
      </c>
      <c r="R20" s="10">
        <v>1.3751100000000001</v>
      </c>
      <c r="S20" s="10">
        <v>8.62059</v>
      </c>
      <c r="T20" s="8">
        <v>88</v>
      </c>
      <c r="U20" s="7">
        <v>43634</v>
      </c>
      <c r="V20" s="8">
        <v>9900333496</v>
      </c>
      <c r="W20" s="9" t="s">
        <v>39</v>
      </c>
      <c r="X20" s="8" t="s">
        <v>48</v>
      </c>
      <c r="Y20" s="9" t="s">
        <v>49</v>
      </c>
      <c r="Z20" s="8" t="s">
        <v>42</v>
      </c>
      <c r="AA20" s="9" t="s">
        <v>43</v>
      </c>
      <c r="AB20" s="10">
        <v>9.995699999999999E-2</v>
      </c>
    </row>
    <row r="21" spans="1:28" s="4" customFormat="1" ht="13" x14ac:dyDescent="0.3">
      <c r="A21" s="5">
        <v>2662</v>
      </c>
      <c r="B21" s="6" t="s">
        <v>31</v>
      </c>
      <c r="C21" s="7">
        <v>43634</v>
      </c>
      <c r="D21" s="8">
        <v>74</v>
      </c>
      <c r="E21" s="9" t="s">
        <v>53</v>
      </c>
      <c r="F21" s="8" t="s">
        <v>83</v>
      </c>
      <c r="G21" s="9" t="s">
        <v>84</v>
      </c>
      <c r="H21" s="8" t="str">
        <f>"000513"</f>
        <v>000513</v>
      </c>
      <c r="I21" s="7">
        <v>42094</v>
      </c>
      <c r="J21" s="8" t="str">
        <f>"000080"</f>
        <v>000080</v>
      </c>
      <c r="K21" s="7">
        <v>43082</v>
      </c>
      <c r="L21" s="8" t="str">
        <f>"000128"</f>
        <v>000128</v>
      </c>
      <c r="M21" s="7">
        <v>43082</v>
      </c>
      <c r="N21" s="8">
        <v>15</v>
      </c>
      <c r="O21" s="8" t="str">
        <f>"002673"</f>
        <v>002673</v>
      </c>
      <c r="P21" s="7">
        <v>43628</v>
      </c>
      <c r="Q21" s="10">
        <v>9.9909800000000004</v>
      </c>
      <c r="R21" s="10">
        <v>1.3785099999999999</v>
      </c>
      <c r="S21" s="10">
        <v>8.6124700000000001</v>
      </c>
      <c r="T21" s="8">
        <v>88</v>
      </c>
      <c r="U21" s="7">
        <v>43634</v>
      </c>
      <c r="V21" s="8">
        <v>9900333496</v>
      </c>
      <c r="W21" s="9" t="s">
        <v>39</v>
      </c>
      <c r="X21" s="8" t="s">
        <v>48</v>
      </c>
      <c r="Y21" s="9" t="s">
        <v>49</v>
      </c>
      <c r="Z21" s="8" t="s">
        <v>42</v>
      </c>
      <c r="AA21" s="9" t="s">
        <v>43</v>
      </c>
      <c r="AB21" s="10">
        <v>9.9909800000000007E-2</v>
      </c>
    </row>
    <row r="22" spans="1:28" s="4" customFormat="1" ht="13" x14ac:dyDescent="0.3">
      <c r="A22" s="5">
        <v>2663</v>
      </c>
      <c r="B22" s="6" t="s">
        <v>31</v>
      </c>
      <c r="C22" s="7">
        <v>43634</v>
      </c>
      <c r="D22" s="8">
        <v>74</v>
      </c>
      <c r="E22" s="9" t="s">
        <v>53</v>
      </c>
      <c r="F22" s="8" t="s">
        <v>85</v>
      </c>
      <c r="G22" s="9" t="s">
        <v>86</v>
      </c>
      <c r="H22" s="8" t="str">
        <f>"000514"</f>
        <v>000514</v>
      </c>
      <c r="I22" s="7">
        <v>42094</v>
      </c>
      <c r="J22" s="8" t="str">
        <f>"000082"</f>
        <v>000082</v>
      </c>
      <c r="K22" s="7">
        <v>43082</v>
      </c>
      <c r="L22" s="8" t="str">
        <f>"000130"</f>
        <v>000130</v>
      </c>
      <c r="M22" s="7">
        <v>43082</v>
      </c>
      <c r="N22" s="8">
        <v>15</v>
      </c>
      <c r="O22" s="8" t="str">
        <f>"002674"</f>
        <v>002674</v>
      </c>
      <c r="P22" s="7">
        <v>43628</v>
      </c>
      <c r="Q22" s="10">
        <v>9.9232600000000009</v>
      </c>
      <c r="R22" s="10">
        <v>1.36737</v>
      </c>
      <c r="S22" s="10">
        <v>8.5558899999999998</v>
      </c>
      <c r="T22" s="8">
        <v>88</v>
      </c>
      <c r="U22" s="7">
        <v>43634</v>
      </c>
      <c r="V22" s="8">
        <v>9900333496</v>
      </c>
      <c r="W22" s="9" t="s">
        <v>39</v>
      </c>
      <c r="X22" s="8" t="s">
        <v>48</v>
      </c>
      <c r="Y22" s="9" t="s">
        <v>49</v>
      </c>
      <c r="Z22" s="8" t="s">
        <v>42</v>
      </c>
      <c r="AA22" s="9" t="s">
        <v>43</v>
      </c>
      <c r="AB22" s="10">
        <v>9.9232600000000004E-2</v>
      </c>
    </row>
    <row r="23" spans="1:28" s="4" customFormat="1" ht="13" x14ac:dyDescent="0.3">
      <c r="A23" s="5">
        <v>2664</v>
      </c>
      <c r="B23" s="6" t="s">
        <v>99</v>
      </c>
      <c r="C23" s="7">
        <v>43647</v>
      </c>
      <c r="D23" s="8">
        <v>74</v>
      </c>
      <c r="E23" s="9" t="s">
        <v>53</v>
      </c>
      <c r="F23" s="8" t="s">
        <v>100</v>
      </c>
      <c r="G23" s="11" t="s">
        <v>101</v>
      </c>
      <c r="H23" s="8" t="str">
        <f>"000037"</f>
        <v>000037</v>
      </c>
      <c r="I23" s="7">
        <v>43246</v>
      </c>
      <c r="J23" s="8" t="str">
        <f>"000031"</f>
        <v>000031</v>
      </c>
      <c r="K23" s="7">
        <v>43595</v>
      </c>
      <c r="L23" s="8" t="str">
        <f>"000041"</f>
        <v>000041</v>
      </c>
      <c r="M23" s="7">
        <v>43595</v>
      </c>
      <c r="N23" s="8">
        <v>18</v>
      </c>
      <c r="O23" s="8" t="str">
        <f>"002989"</f>
        <v>002989</v>
      </c>
      <c r="P23" s="7">
        <v>43640</v>
      </c>
      <c r="Q23" s="12">
        <v>9.9809699999999992</v>
      </c>
      <c r="R23" s="12">
        <v>1.1835100000000001</v>
      </c>
      <c r="S23" s="12">
        <v>8.7974599999999992</v>
      </c>
      <c r="T23" s="8">
        <v>97</v>
      </c>
      <c r="U23" s="7">
        <v>43647</v>
      </c>
      <c r="V23" s="8">
        <v>9900333496</v>
      </c>
      <c r="W23" s="11" t="s">
        <v>39</v>
      </c>
      <c r="X23" s="8" t="s">
        <v>102</v>
      </c>
      <c r="Y23" s="11" t="s">
        <v>103</v>
      </c>
      <c r="Z23" s="8" t="s">
        <v>42</v>
      </c>
      <c r="AA23" s="11" t="s">
        <v>43</v>
      </c>
      <c r="AB23" s="12">
        <f t="shared" ref="AB23:AB38" si="1">Q23/100</f>
        <v>9.9809699999999987E-2</v>
      </c>
    </row>
    <row r="24" spans="1:28" s="4" customFormat="1" ht="13" x14ac:dyDescent="0.3">
      <c r="A24" s="5">
        <v>2665</v>
      </c>
      <c r="B24" s="6" t="s">
        <v>99</v>
      </c>
      <c r="C24" s="7">
        <v>43647</v>
      </c>
      <c r="D24" s="8">
        <v>74</v>
      </c>
      <c r="E24" s="9" t="s">
        <v>53</v>
      </c>
      <c r="F24" s="8" t="s">
        <v>104</v>
      </c>
      <c r="G24" s="11" t="s">
        <v>105</v>
      </c>
      <c r="H24" s="8" t="str">
        <f>"000035"</f>
        <v>000035</v>
      </c>
      <c r="I24" s="7">
        <v>43246</v>
      </c>
      <c r="J24" s="8" t="str">
        <f>"000032"</f>
        <v>000032</v>
      </c>
      <c r="K24" s="7">
        <v>43595</v>
      </c>
      <c r="L24" s="8" t="str">
        <f>"000042"</f>
        <v>000042</v>
      </c>
      <c r="M24" s="7">
        <v>43595</v>
      </c>
      <c r="N24" s="8">
        <v>18</v>
      </c>
      <c r="O24" s="8" t="str">
        <f>"002991"</f>
        <v>002991</v>
      </c>
      <c r="P24" s="7">
        <v>43640</v>
      </c>
      <c r="Q24" s="12">
        <v>24.98826</v>
      </c>
      <c r="R24" s="12">
        <v>3.0400999999999998</v>
      </c>
      <c r="S24" s="12">
        <v>21.948160000000001</v>
      </c>
      <c r="T24" s="8">
        <v>97</v>
      </c>
      <c r="U24" s="7">
        <v>43647</v>
      </c>
      <c r="V24" s="8">
        <v>9900333496</v>
      </c>
      <c r="W24" s="11" t="s">
        <v>39</v>
      </c>
      <c r="X24" s="8" t="s">
        <v>102</v>
      </c>
      <c r="Y24" s="11" t="s">
        <v>103</v>
      </c>
      <c r="Z24" s="8" t="s">
        <v>42</v>
      </c>
      <c r="AA24" s="11" t="s">
        <v>43</v>
      </c>
      <c r="AB24" s="12">
        <f t="shared" si="1"/>
        <v>0.24988260000000001</v>
      </c>
    </row>
    <row r="25" spans="1:28" s="4" customFormat="1" ht="13" x14ac:dyDescent="0.3">
      <c r="A25" s="5">
        <v>2666</v>
      </c>
      <c r="B25" s="6" t="s">
        <v>99</v>
      </c>
      <c r="C25" s="7">
        <v>43654</v>
      </c>
      <c r="D25" s="8">
        <v>74</v>
      </c>
      <c r="E25" s="9" t="s">
        <v>53</v>
      </c>
      <c r="F25" s="8" t="s">
        <v>106</v>
      </c>
      <c r="G25" s="11" t="s">
        <v>107</v>
      </c>
      <c r="H25" s="8" t="str">
        <f>"000553"</f>
        <v>000553</v>
      </c>
      <c r="I25" s="7">
        <v>42825</v>
      </c>
      <c r="J25" s="8" t="str">
        <f>"000187"</f>
        <v>000187</v>
      </c>
      <c r="K25" s="7">
        <v>42916</v>
      </c>
      <c r="L25" s="8" t="str">
        <f>"000377"</f>
        <v>000377</v>
      </c>
      <c r="M25" s="7">
        <v>42916</v>
      </c>
      <c r="N25" s="8">
        <v>17</v>
      </c>
      <c r="O25" s="8" t="str">
        <f>"003332"</f>
        <v>003332</v>
      </c>
      <c r="P25" s="7">
        <v>43650</v>
      </c>
      <c r="Q25" s="12">
        <v>9.7434899999999995</v>
      </c>
      <c r="R25" s="12">
        <v>1.32507</v>
      </c>
      <c r="S25" s="12">
        <v>8.4184199999999993</v>
      </c>
      <c r="T25" s="8">
        <v>108</v>
      </c>
      <c r="U25" s="7">
        <v>43654</v>
      </c>
      <c r="V25" s="8">
        <v>9900333496</v>
      </c>
      <c r="W25" s="11" t="s">
        <v>39</v>
      </c>
      <c r="X25" s="8" t="s">
        <v>108</v>
      </c>
      <c r="Y25" s="11" t="s">
        <v>109</v>
      </c>
      <c r="Z25" s="8" t="s">
        <v>42</v>
      </c>
      <c r="AA25" s="11" t="s">
        <v>43</v>
      </c>
      <c r="AB25" s="12">
        <f t="shared" si="1"/>
        <v>9.7434899999999991E-2</v>
      </c>
    </row>
    <row r="26" spans="1:28" s="4" customFormat="1" ht="13" x14ac:dyDescent="0.3">
      <c r="A26" s="5">
        <v>2667</v>
      </c>
      <c r="B26" s="6" t="s">
        <v>110</v>
      </c>
      <c r="C26" s="7">
        <v>43680</v>
      </c>
      <c r="D26" s="8">
        <v>74</v>
      </c>
      <c r="E26" s="9" t="s">
        <v>53</v>
      </c>
      <c r="F26" s="8" t="s">
        <v>111</v>
      </c>
      <c r="G26" s="11" t="s">
        <v>112</v>
      </c>
      <c r="H26" s="8" t="str">
        <f>"000378"</f>
        <v>000378</v>
      </c>
      <c r="I26" s="7">
        <v>43537</v>
      </c>
      <c r="J26" s="8" t="str">
        <f>"000095"</f>
        <v>000095</v>
      </c>
      <c r="K26" s="7">
        <v>43652</v>
      </c>
      <c r="L26" s="8" t="str">
        <f>"000158"</f>
        <v>000158</v>
      </c>
      <c r="M26" s="7">
        <v>43652</v>
      </c>
      <c r="N26" s="8">
        <v>19</v>
      </c>
      <c r="O26" s="8" t="str">
        <f>"004164"</f>
        <v>004164</v>
      </c>
      <c r="P26" s="7">
        <v>43678</v>
      </c>
      <c r="Q26" s="12">
        <v>29.770050000000001</v>
      </c>
      <c r="R26" s="12">
        <v>3.7095199999999999</v>
      </c>
      <c r="S26" s="12">
        <v>26.06053</v>
      </c>
      <c r="T26" s="8">
        <v>142</v>
      </c>
      <c r="U26" s="7">
        <v>43680</v>
      </c>
      <c r="V26" s="8">
        <v>9900333496</v>
      </c>
      <c r="W26" s="11" t="s">
        <v>39</v>
      </c>
      <c r="X26" s="8" t="s">
        <v>113</v>
      </c>
      <c r="Y26" s="11" t="s">
        <v>114</v>
      </c>
      <c r="Z26" s="8" t="s">
        <v>42</v>
      </c>
      <c r="AA26" s="11" t="s">
        <v>43</v>
      </c>
      <c r="AB26" s="12">
        <f t="shared" si="1"/>
        <v>0.29770050000000003</v>
      </c>
    </row>
    <row r="27" spans="1:28" s="4" customFormat="1" ht="13" x14ac:dyDescent="0.3">
      <c r="A27" s="5">
        <v>2668</v>
      </c>
      <c r="B27" s="6" t="s">
        <v>110</v>
      </c>
      <c r="C27" s="7">
        <v>43696</v>
      </c>
      <c r="D27" s="8">
        <v>74</v>
      </c>
      <c r="E27" s="9" t="s">
        <v>53</v>
      </c>
      <c r="F27" s="8" t="s">
        <v>115</v>
      </c>
      <c r="G27" s="11" t="s">
        <v>116</v>
      </c>
      <c r="H27" s="8" t="str">
        <f>"000247"</f>
        <v>000247</v>
      </c>
      <c r="I27" s="7">
        <v>43154</v>
      </c>
      <c r="J27" s="8" t="str">
        <f>"000149"</f>
        <v>000149</v>
      </c>
      <c r="K27" s="7">
        <v>43172</v>
      </c>
      <c r="L27" s="8" t="str">
        <f>"000247"</f>
        <v>000247</v>
      </c>
      <c r="M27" s="7">
        <v>43173</v>
      </c>
      <c r="N27" s="8">
        <v>18</v>
      </c>
      <c r="O27" s="8" t="str">
        <f>"004452"</f>
        <v>004452</v>
      </c>
      <c r="P27" s="7">
        <v>43691</v>
      </c>
      <c r="Q27" s="12">
        <v>22.929739999999999</v>
      </c>
      <c r="R27" s="12">
        <v>2.8545500000000001</v>
      </c>
      <c r="S27" s="12">
        <v>20.075189999999999</v>
      </c>
      <c r="T27" s="8">
        <v>158</v>
      </c>
      <c r="U27" s="7">
        <v>43696</v>
      </c>
      <c r="V27" s="8">
        <v>9900333496</v>
      </c>
      <c r="W27" s="11" t="s">
        <v>39</v>
      </c>
      <c r="X27" s="8" t="s">
        <v>117</v>
      </c>
      <c r="Y27" s="11" t="s">
        <v>118</v>
      </c>
      <c r="Z27" s="8" t="s">
        <v>42</v>
      </c>
      <c r="AA27" s="11" t="s">
        <v>43</v>
      </c>
      <c r="AB27" s="12">
        <f t="shared" si="1"/>
        <v>0.22929739999999998</v>
      </c>
    </row>
    <row r="28" spans="1:28" s="4" customFormat="1" ht="13" x14ac:dyDescent="0.3">
      <c r="A28" s="5">
        <v>2669</v>
      </c>
      <c r="B28" s="6" t="s">
        <v>110</v>
      </c>
      <c r="C28" s="7">
        <v>43696</v>
      </c>
      <c r="D28" s="8">
        <v>74</v>
      </c>
      <c r="E28" s="9" t="s">
        <v>53</v>
      </c>
      <c r="F28" s="8" t="s">
        <v>119</v>
      </c>
      <c r="G28" s="11" t="s">
        <v>120</v>
      </c>
      <c r="H28" s="8" t="str">
        <f>"000238"</f>
        <v>000238</v>
      </c>
      <c r="I28" s="7">
        <v>43154</v>
      </c>
      <c r="J28" s="8" t="str">
        <f>"000148"</f>
        <v>000148</v>
      </c>
      <c r="K28" s="7">
        <v>43172</v>
      </c>
      <c r="L28" s="8" t="str">
        <f>"000248"</f>
        <v>000248</v>
      </c>
      <c r="M28" s="7">
        <v>43173</v>
      </c>
      <c r="N28" s="8">
        <v>18</v>
      </c>
      <c r="O28" s="8" t="str">
        <f>"004453"</f>
        <v>004453</v>
      </c>
      <c r="P28" s="7">
        <v>43691</v>
      </c>
      <c r="Q28" s="12">
        <v>24.913329999999998</v>
      </c>
      <c r="R28" s="12">
        <v>3.0897899999999998</v>
      </c>
      <c r="S28" s="12">
        <v>21.823540000000001</v>
      </c>
      <c r="T28" s="8">
        <v>158</v>
      </c>
      <c r="U28" s="7">
        <v>43696</v>
      </c>
      <c r="V28" s="8">
        <v>9900333496</v>
      </c>
      <c r="W28" s="11" t="s">
        <v>39</v>
      </c>
      <c r="X28" s="8" t="s">
        <v>117</v>
      </c>
      <c r="Y28" s="11" t="s">
        <v>118</v>
      </c>
      <c r="Z28" s="8" t="s">
        <v>42</v>
      </c>
      <c r="AA28" s="11" t="s">
        <v>43</v>
      </c>
      <c r="AB28" s="12">
        <f t="shared" si="1"/>
        <v>0.24913329999999997</v>
      </c>
    </row>
    <row r="29" spans="1:28" s="4" customFormat="1" ht="13" x14ac:dyDescent="0.3">
      <c r="A29" s="5">
        <v>2670</v>
      </c>
      <c r="B29" s="6" t="s">
        <v>110</v>
      </c>
      <c r="C29" s="7">
        <v>43696</v>
      </c>
      <c r="D29" s="8">
        <v>74</v>
      </c>
      <c r="E29" s="9" t="s">
        <v>53</v>
      </c>
      <c r="F29" s="8" t="s">
        <v>121</v>
      </c>
      <c r="G29" s="11" t="s">
        <v>122</v>
      </c>
      <c r="H29" s="8" t="str">
        <f>"000239"</f>
        <v>000239</v>
      </c>
      <c r="I29" s="7">
        <v>43154</v>
      </c>
      <c r="J29" s="8" t="str">
        <f>"000146"</f>
        <v>000146</v>
      </c>
      <c r="K29" s="7">
        <v>43172</v>
      </c>
      <c r="L29" s="8" t="str">
        <f>"000249"</f>
        <v>000249</v>
      </c>
      <c r="M29" s="7">
        <v>43173</v>
      </c>
      <c r="N29" s="8">
        <v>18</v>
      </c>
      <c r="O29" s="8" t="str">
        <f>"004454"</f>
        <v>004454</v>
      </c>
      <c r="P29" s="7">
        <v>43691</v>
      </c>
      <c r="Q29" s="12">
        <v>24.931819999999998</v>
      </c>
      <c r="R29" s="12">
        <v>3.08778</v>
      </c>
      <c r="S29" s="12">
        <v>21.84404</v>
      </c>
      <c r="T29" s="8">
        <v>158</v>
      </c>
      <c r="U29" s="7">
        <v>43696</v>
      </c>
      <c r="V29" s="8">
        <v>9900333496</v>
      </c>
      <c r="W29" s="11" t="s">
        <v>39</v>
      </c>
      <c r="X29" s="8" t="s">
        <v>117</v>
      </c>
      <c r="Y29" s="11" t="s">
        <v>118</v>
      </c>
      <c r="Z29" s="8" t="s">
        <v>42</v>
      </c>
      <c r="AA29" s="11" t="s">
        <v>43</v>
      </c>
      <c r="AB29" s="12">
        <f t="shared" si="1"/>
        <v>0.24931819999999999</v>
      </c>
    </row>
    <row r="30" spans="1:28" s="4" customFormat="1" ht="13" x14ac:dyDescent="0.3">
      <c r="A30" s="5">
        <v>2671</v>
      </c>
      <c r="B30" s="6" t="s">
        <v>110</v>
      </c>
      <c r="C30" s="7">
        <v>43696</v>
      </c>
      <c r="D30" s="8">
        <v>74</v>
      </c>
      <c r="E30" s="9" t="s">
        <v>53</v>
      </c>
      <c r="F30" s="8" t="s">
        <v>123</v>
      </c>
      <c r="G30" s="11" t="s">
        <v>124</v>
      </c>
      <c r="H30" s="8" t="str">
        <f>"000240"</f>
        <v>000240</v>
      </c>
      <c r="I30" s="7">
        <v>43154</v>
      </c>
      <c r="J30" s="8" t="str">
        <f>"000157"</f>
        <v>000157</v>
      </c>
      <c r="K30" s="7">
        <v>43176</v>
      </c>
      <c r="L30" s="8" t="str">
        <f>"000265"</f>
        <v>000265</v>
      </c>
      <c r="M30" s="7">
        <v>43176</v>
      </c>
      <c r="N30" s="8">
        <v>18</v>
      </c>
      <c r="O30" s="8" t="str">
        <f>"004467"</f>
        <v>004467</v>
      </c>
      <c r="P30" s="7">
        <v>43691</v>
      </c>
      <c r="Q30" s="12">
        <v>29.908519999999999</v>
      </c>
      <c r="R30" s="12">
        <v>3.6563099999999999</v>
      </c>
      <c r="S30" s="12">
        <v>26.252210000000002</v>
      </c>
      <c r="T30" s="8">
        <v>158</v>
      </c>
      <c r="U30" s="7">
        <v>43696</v>
      </c>
      <c r="V30" s="8">
        <v>9900333496</v>
      </c>
      <c r="W30" s="11" t="s">
        <v>39</v>
      </c>
      <c r="X30" s="8" t="s">
        <v>117</v>
      </c>
      <c r="Y30" s="11" t="s">
        <v>118</v>
      </c>
      <c r="Z30" s="8" t="s">
        <v>42</v>
      </c>
      <c r="AA30" s="11" t="s">
        <v>43</v>
      </c>
      <c r="AB30" s="12">
        <f t="shared" si="1"/>
        <v>0.2990852</v>
      </c>
    </row>
    <row r="31" spans="1:28" s="4" customFormat="1" ht="13" x14ac:dyDescent="0.3">
      <c r="A31" s="5">
        <v>2672</v>
      </c>
      <c r="B31" s="6" t="s">
        <v>110</v>
      </c>
      <c r="C31" s="7">
        <v>43698</v>
      </c>
      <c r="D31" s="8">
        <v>74</v>
      </c>
      <c r="E31" s="9" t="s">
        <v>53</v>
      </c>
      <c r="F31" s="8" t="s">
        <v>62</v>
      </c>
      <c r="G31" s="11" t="s">
        <v>63</v>
      </c>
      <c r="H31" s="8" t="str">
        <f>"000013"</f>
        <v>000013</v>
      </c>
      <c r="I31" s="7">
        <v>42933</v>
      </c>
      <c r="J31" s="8" t="str">
        <f>"000085"</f>
        <v>000085</v>
      </c>
      <c r="K31" s="7">
        <v>43782</v>
      </c>
      <c r="L31" s="8" t="str">
        <f>"000085"</f>
        <v>000085</v>
      </c>
      <c r="M31" s="7">
        <v>43782</v>
      </c>
      <c r="N31" s="8">
        <v>16</v>
      </c>
      <c r="O31" s="8" t="str">
        <f>"006324"</f>
        <v>006324</v>
      </c>
      <c r="P31" s="7">
        <v>43791</v>
      </c>
      <c r="Q31" s="12">
        <v>11.34878</v>
      </c>
      <c r="R31" s="12">
        <v>1.1218999999999999</v>
      </c>
      <c r="S31" s="12">
        <v>10.22688</v>
      </c>
      <c r="T31" s="8">
        <v>161</v>
      </c>
      <c r="U31" s="7">
        <v>43698</v>
      </c>
      <c r="V31" s="8">
        <v>9916368736</v>
      </c>
      <c r="W31" s="11" t="s">
        <v>64</v>
      </c>
      <c r="X31" s="8" t="s">
        <v>29</v>
      </c>
      <c r="Y31" s="11" t="s">
        <v>30</v>
      </c>
      <c r="Z31" s="8" t="s">
        <v>44</v>
      </c>
      <c r="AA31" s="11" t="s">
        <v>45</v>
      </c>
      <c r="AB31" s="12">
        <f t="shared" si="1"/>
        <v>0.1134878</v>
      </c>
    </row>
    <row r="32" spans="1:28" s="4" customFormat="1" ht="13" x14ac:dyDescent="0.3">
      <c r="A32" s="5">
        <v>2673</v>
      </c>
      <c r="B32" s="6" t="s">
        <v>110</v>
      </c>
      <c r="C32" s="7">
        <v>43705</v>
      </c>
      <c r="D32" s="8">
        <v>74</v>
      </c>
      <c r="E32" s="9" t="s">
        <v>53</v>
      </c>
      <c r="F32" s="8" t="s">
        <v>125</v>
      </c>
      <c r="G32" s="11" t="s">
        <v>126</v>
      </c>
      <c r="H32" s="8" t="str">
        <f>"000266"</f>
        <v>000266</v>
      </c>
      <c r="I32" s="7">
        <v>43521</v>
      </c>
      <c r="J32" s="8" t="str">
        <f>"000106"</f>
        <v>000106</v>
      </c>
      <c r="K32" s="7">
        <v>43657</v>
      </c>
      <c r="L32" s="8" t="str">
        <f>"000167"</f>
        <v>000167</v>
      </c>
      <c r="M32" s="7">
        <v>43663</v>
      </c>
      <c r="N32" s="8">
        <v>19</v>
      </c>
      <c r="O32" s="8" t="str">
        <f>"004774"</f>
        <v>004774</v>
      </c>
      <c r="P32" s="7">
        <v>43704</v>
      </c>
      <c r="Q32" s="12">
        <v>51.402030000000003</v>
      </c>
      <c r="R32" s="12">
        <v>6.5409100000000002</v>
      </c>
      <c r="S32" s="12">
        <v>44.86112</v>
      </c>
      <c r="T32" s="8">
        <v>170</v>
      </c>
      <c r="U32" s="7">
        <v>43705</v>
      </c>
      <c r="V32" s="8">
        <v>9900333496</v>
      </c>
      <c r="W32" s="11" t="s">
        <v>39</v>
      </c>
      <c r="X32" s="8" t="s">
        <v>35</v>
      </c>
      <c r="Y32" s="11" t="s">
        <v>36</v>
      </c>
      <c r="Z32" s="8" t="s">
        <v>42</v>
      </c>
      <c r="AA32" s="11" t="s">
        <v>43</v>
      </c>
      <c r="AB32" s="12">
        <f t="shared" si="1"/>
        <v>0.51402029999999999</v>
      </c>
    </row>
    <row r="33" spans="1:28" s="4" customFormat="1" ht="13" x14ac:dyDescent="0.3">
      <c r="A33" s="5">
        <v>2674</v>
      </c>
      <c r="B33" s="6" t="s">
        <v>110</v>
      </c>
      <c r="C33" s="7">
        <v>43705</v>
      </c>
      <c r="D33" s="8">
        <v>74</v>
      </c>
      <c r="E33" s="9" t="s">
        <v>53</v>
      </c>
      <c r="F33" s="8" t="s">
        <v>127</v>
      </c>
      <c r="G33" s="11" t="s">
        <v>128</v>
      </c>
      <c r="H33" s="8" t="str">
        <f>"000267"</f>
        <v>000267</v>
      </c>
      <c r="I33" s="7">
        <v>43521</v>
      </c>
      <c r="J33" s="8" t="str">
        <f>"000105"</f>
        <v>000105</v>
      </c>
      <c r="K33" s="7">
        <v>43657</v>
      </c>
      <c r="L33" s="8" t="str">
        <f>"000168"</f>
        <v>000168</v>
      </c>
      <c r="M33" s="7">
        <v>43663</v>
      </c>
      <c r="N33" s="8">
        <v>19</v>
      </c>
      <c r="O33" s="8" t="str">
        <f>"004775"</f>
        <v>004775</v>
      </c>
      <c r="P33" s="7">
        <v>43704</v>
      </c>
      <c r="Q33" s="12">
        <v>50.125459999999997</v>
      </c>
      <c r="R33" s="12">
        <v>6.37913</v>
      </c>
      <c r="S33" s="12">
        <v>43.74633</v>
      </c>
      <c r="T33" s="8">
        <v>170</v>
      </c>
      <c r="U33" s="7">
        <v>43705</v>
      </c>
      <c r="V33" s="8">
        <v>9900333496</v>
      </c>
      <c r="W33" s="11" t="s">
        <v>39</v>
      </c>
      <c r="X33" s="8" t="s">
        <v>35</v>
      </c>
      <c r="Y33" s="11" t="s">
        <v>36</v>
      </c>
      <c r="Z33" s="8" t="s">
        <v>42</v>
      </c>
      <c r="AA33" s="11" t="s">
        <v>43</v>
      </c>
      <c r="AB33" s="12">
        <f t="shared" si="1"/>
        <v>0.50125459999999999</v>
      </c>
    </row>
    <row r="34" spans="1:28" s="4" customFormat="1" ht="13" x14ac:dyDescent="0.3">
      <c r="A34" s="5">
        <v>2675</v>
      </c>
      <c r="B34" s="6" t="s">
        <v>110</v>
      </c>
      <c r="C34" s="7">
        <v>43705</v>
      </c>
      <c r="D34" s="8">
        <v>74</v>
      </c>
      <c r="E34" s="9" t="s">
        <v>53</v>
      </c>
      <c r="F34" s="8" t="s">
        <v>129</v>
      </c>
      <c r="G34" s="11" t="s">
        <v>130</v>
      </c>
      <c r="H34" s="8" t="str">
        <f>"000268"</f>
        <v>000268</v>
      </c>
      <c r="I34" s="7">
        <v>43521</v>
      </c>
      <c r="J34" s="8" t="str">
        <f>"000104"</f>
        <v>000104</v>
      </c>
      <c r="K34" s="7">
        <v>43657</v>
      </c>
      <c r="L34" s="8" t="str">
        <f>"000169"</f>
        <v>000169</v>
      </c>
      <c r="M34" s="7">
        <v>43663</v>
      </c>
      <c r="N34" s="8">
        <v>19</v>
      </c>
      <c r="O34" s="8" t="str">
        <f>"004776"</f>
        <v>004776</v>
      </c>
      <c r="P34" s="7">
        <v>43704</v>
      </c>
      <c r="Q34" s="12">
        <v>50.954009999999997</v>
      </c>
      <c r="R34" s="12">
        <v>6.4839000000000002</v>
      </c>
      <c r="S34" s="12">
        <v>44.470109999999998</v>
      </c>
      <c r="T34" s="8">
        <v>170</v>
      </c>
      <c r="U34" s="7">
        <v>43705</v>
      </c>
      <c r="V34" s="8">
        <v>9900333496</v>
      </c>
      <c r="W34" s="11" t="s">
        <v>39</v>
      </c>
      <c r="X34" s="8" t="s">
        <v>35</v>
      </c>
      <c r="Y34" s="11" t="s">
        <v>36</v>
      </c>
      <c r="Z34" s="8" t="s">
        <v>42</v>
      </c>
      <c r="AA34" s="11" t="s">
        <v>43</v>
      </c>
      <c r="AB34" s="12">
        <f t="shared" si="1"/>
        <v>0.50954009999999994</v>
      </c>
    </row>
    <row r="35" spans="1:28" s="4" customFormat="1" ht="13" x14ac:dyDescent="0.3">
      <c r="A35" s="5">
        <v>2676</v>
      </c>
      <c r="B35" s="6" t="s">
        <v>110</v>
      </c>
      <c r="C35" s="7">
        <v>43705</v>
      </c>
      <c r="D35" s="8">
        <v>74</v>
      </c>
      <c r="E35" s="9" t="s">
        <v>53</v>
      </c>
      <c r="F35" s="8" t="s">
        <v>131</v>
      </c>
      <c r="G35" s="11" t="s">
        <v>132</v>
      </c>
      <c r="H35" s="8" t="str">
        <f>"000260"</f>
        <v>000260</v>
      </c>
      <c r="I35" s="7">
        <v>43521</v>
      </c>
      <c r="J35" s="8" t="str">
        <f>"000055"</f>
        <v>000055</v>
      </c>
      <c r="K35" s="7">
        <v>43610</v>
      </c>
      <c r="L35" s="8" t="str">
        <f>"000096"</f>
        <v>000096</v>
      </c>
      <c r="M35" s="7">
        <v>43612</v>
      </c>
      <c r="N35" s="8">
        <v>19</v>
      </c>
      <c r="O35" s="8" t="str">
        <f>"004777"</f>
        <v>004777</v>
      </c>
      <c r="P35" s="7">
        <v>43704</v>
      </c>
      <c r="Q35" s="12">
        <v>50.716819999999998</v>
      </c>
      <c r="R35" s="12">
        <v>6.5164799999999996</v>
      </c>
      <c r="S35" s="12">
        <v>44.200339999999997</v>
      </c>
      <c r="T35" s="8">
        <v>170</v>
      </c>
      <c r="U35" s="7">
        <v>43705</v>
      </c>
      <c r="V35" s="8">
        <v>9900333496</v>
      </c>
      <c r="W35" s="11" t="s">
        <v>39</v>
      </c>
      <c r="X35" s="8" t="s">
        <v>35</v>
      </c>
      <c r="Y35" s="11" t="s">
        <v>36</v>
      </c>
      <c r="Z35" s="8" t="s">
        <v>42</v>
      </c>
      <c r="AA35" s="11" t="s">
        <v>43</v>
      </c>
      <c r="AB35" s="12">
        <f t="shared" si="1"/>
        <v>0.50716819999999996</v>
      </c>
    </row>
    <row r="36" spans="1:28" s="4" customFormat="1" ht="13" x14ac:dyDescent="0.3">
      <c r="A36" s="5">
        <v>2677</v>
      </c>
      <c r="B36" s="6" t="s">
        <v>110</v>
      </c>
      <c r="C36" s="7">
        <v>43705</v>
      </c>
      <c r="D36" s="8">
        <v>74</v>
      </c>
      <c r="E36" s="9" t="s">
        <v>53</v>
      </c>
      <c r="F36" s="8" t="s">
        <v>133</v>
      </c>
      <c r="G36" s="11" t="s">
        <v>134</v>
      </c>
      <c r="H36" s="8" t="str">
        <f>"000265"</f>
        <v>000265</v>
      </c>
      <c r="I36" s="7">
        <v>43521</v>
      </c>
      <c r="J36" s="8" t="str">
        <f>"000107"</f>
        <v>000107</v>
      </c>
      <c r="K36" s="7">
        <v>43663</v>
      </c>
      <c r="L36" s="8" t="str">
        <f>"000171"</f>
        <v>000171</v>
      </c>
      <c r="M36" s="7">
        <v>43664</v>
      </c>
      <c r="N36" s="8">
        <v>19</v>
      </c>
      <c r="O36" s="8" t="str">
        <f>"004809"</f>
        <v>004809</v>
      </c>
      <c r="P36" s="7">
        <v>43704</v>
      </c>
      <c r="Q36" s="12">
        <v>59.477679999999999</v>
      </c>
      <c r="R36" s="12">
        <v>7.5159599999999998</v>
      </c>
      <c r="S36" s="12">
        <v>51.96172</v>
      </c>
      <c r="T36" s="8">
        <v>170</v>
      </c>
      <c r="U36" s="7">
        <v>43705</v>
      </c>
      <c r="V36" s="8">
        <v>9900333496</v>
      </c>
      <c r="W36" s="11" t="s">
        <v>39</v>
      </c>
      <c r="X36" s="8" t="s">
        <v>35</v>
      </c>
      <c r="Y36" s="11" t="s">
        <v>36</v>
      </c>
      <c r="Z36" s="8" t="s">
        <v>42</v>
      </c>
      <c r="AA36" s="11" t="s">
        <v>43</v>
      </c>
      <c r="AB36" s="12">
        <f t="shared" si="1"/>
        <v>0.59477679999999999</v>
      </c>
    </row>
    <row r="37" spans="1:28" s="4" customFormat="1" ht="13" x14ac:dyDescent="0.3">
      <c r="A37" s="5">
        <v>2678</v>
      </c>
      <c r="B37" s="6" t="s">
        <v>110</v>
      </c>
      <c r="C37" s="7">
        <v>43705</v>
      </c>
      <c r="D37" s="8">
        <v>74</v>
      </c>
      <c r="E37" s="9" t="s">
        <v>53</v>
      </c>
      <c r="F37" s="8" t="s">
        <v>135</v>
      </c>
      <c r="G37" s="11" t="s">
        <v>136</v>
      </c>
      <c r="H37" s="8" t="str">
        <f>"000264"</f>
        <v>000264</v>
      </c>
      <c r="I37" s="7">
        <v>43521</v>
      </c>
      <c r="J37" s="8" t="str">
        <f>"000108"</f>
        <v>000108</v>
      </c>
      <c r="K37" s="7">
        <v>43663</v>
      </c>
      <c r="L37" s="8" t="str">
        <f>"000172"</f>
        <v>000172</v>
      </c>
      <c r="M37" s="7">
        <v>43664</v>
      </c>
      <c r="N37" s="8">
        <v>19</v>
      </c>
      <c r="O37" s="8" t="str">
        <f>"004810"</f>
        <v>004810</v>
      </c>
      <c r="P37" s="7">
        <v>43704</v>
      </c>
      <c r="Q37" s="12">
        <v>51.426479999999998</v>
      </c>
      <c r="R37" s="12">
        <v>6.5442799999999997</v>
      </c>
      <c r="S37" s="12">
        <v>44.882199999999997</v>
      </c>
      <c r="T37" s="8">
        <v>170</v>
      </c>
      <c r="U37" s="7">
        <v>43705</v>
      </c>
      <c r="V37" s="8">
        <v>9900333496</v>
      </c>
      <c r="W37" s="11" t="s">
        <v>39</v>
      </c>
      <c r="X37" s="8" t="s">
        <v>35</v>
      </c>
      <c r="Y37" s="11" t="s">
        <v>36</v>
      </c>
      <c r="Z37" s="8" t="s">
        <v>42</v>
      </c>
      <c r="AA37" s="11" t="s">
        <v>43</v>
      </c>
      <c r="AB37" s="12">
        <f t="shared" si="1"/>
        <v>0.51426479999999997</v>
      </c>
    </row>
    <row r="38" spans="1:28" s="4" customFormat="1" ht="13" x14ac:dyDescent="0.3">
      <c r="A38" s="5">
        <v>2679</v>
      </c>
      <c r="B38" s="6" t="s">
        <v>137</v>
      </c>
      <c r="C38" s="7">
        <v>43732</v>
      </c>
      <c r="D38" s="8">
        <v>74</v>
      </c>
      <c r="E38" s="9" t="s">
        <v>53</v>
      </c>
      <c r="F38" s="8" t="s">
        <v>138</v>
      </c>
      <c r="G38" s="11" t="s">
        <v>139</v>
      </c>
      <c r="H38" s="8" t="str">
        <f>"000168"</f>
        <v>000168</v>
      </c>
      <c r="I38" s="7">
        <v>43180</v>
      </c>
      <c r="J38" s="8" t="str">
        <f>"000019"</f>
        <v>000019</v>
      </c>
      <c r="K38" s="7">
        <v>43203</v>
      </c>
      <c r="L38" s="8" t="str">
        <f>"000019"</f>
        <v>000019</v>
      </c>
      <c r="M38" s="7">
        <v>43203</v>
      </c>
      <c r="N38" s="8">
        <v>18</v>
      </c>
      <c r="O38" s="8" t="str">
        <f>"005257"</f>
        <v>005257</v>
      </c>
      <c r="P38" s="7">
        <v>43728</v>
      </c>
      <c r="Q38" s="12">
        <v>14.99297</v>
      </c>
      <c r="R38" s="12">
        <v>1.8891899999999999</v>
      </c>
      <c r="S38" s="12">
        <v>13.10378</v>
      </c>
      <c r="T38" s="8">
        <v>199</v>
      </c>
      <c r="U38" s="7">
        <v>43732</v>
      </c>
      <c r="V38" s="8">
        <v>9845008155</v>
      </c>
      <c r="W38" s="11" t="s">
        <v>140</v>
      </c>
      <c r="X38" s="8" t="s">
        <v>46</v>
      </c>
      <c r="Y38" s="11" t="s">
        <v>47</v>
      </c>
      <c r="Z38" s="8" t="s">
        <v>44</v>
      </c>
      <c r="AA38" s="11" t="s">
        <v>45</v>
      </c>
      <c r="AB38" s="12">
        <f t="shared" si="1"/>
        <v>0.1499297</v>
      </c>
    </row>
    <row r="39" spans="1:28" s="4" customFormat="1" ht="13" x14ac:dyDescent="0.3">
      <c r="A39" s="5">
        <v>2680</v>
      </c>
      <c r="B39" s="6" t="s">
        <v>141</v>
      </c>
      <c r="C39" s="7">
        <v>43741</v>
      </c>
      <c r="D39" s="5">
        <v>74</v>
      </c>
      <c r="E39" s="9" t="s">
        <v>53</v>
      </c>
      <c r="F39" s="8" t="s">
        <v>135</v>
      </c>
      <c r="G39" s="9" t="s">
        <v>136</v>
      </c>
      <c r="H39" s="8" t="str">
        <f>"000264"</f>
        <v>000264</v>
      </c>
      <c r="I39" s="7">
        <v>43521</v>
      </c>
      <c r="J39" s="8" t="str">
        <f>"000108"</f>
        <v>000108</v>
      </c>
      <c r="K39" s="7">
        <v>43663</v>
      </c>
      <c r="L39" s="8" t="str">
        <f>"000172"</f>
        <v>000172</v>
      </c>
      <c r="M39" s="7">
        <v>43664</v>
      </c>
      <c r="N39" s="8">
        <v>19</v>
      </c>
      <c r="O39" s="8" t="str">
        <f>"004810"</f>
        <v>004810</v>
      </c>
      <c r="P39" s="7">
        <v>43704</v>
      </c>
      <c r="Q39" s="10">
        <v>4.41</v>
      </c>
      <c r="R39" s="10">
        <v>0.441</v>
      </c>
      <c r="S39" s="10">
        <v>3.9689999999999999</v>
      </c>
      <c r="T39" s="8">
        <v>13</v>
      </c>
      <c r="U39" s="7">
        <v>43741</v>
      </c>
      <c r="V39" s="8">
        <v>8618239904</v>
      </c>
      <c r="W39" s="9" t="s">
        <v>142</v>
      </c>
      <c r="X39" s="8" t="s">
        <v>35</v>
      </c>
      <c r="Y39" s="9" t="s">
        <v>36</v>
      </c>
      <c r="Z39" s="8" t="s">
        <v>42</v>
      </c>
      <c r="AA39" s="9" t="s">
        <v>43</v>
      </c>
      <c r="AB39" s="10">
        <v>4.41E-2</v>
      </c>
    </row>
    <row r="40" spans="1:28" s="4" customFormat="1" ht="13" x14ac:dyDescent="0.3">
      <c r="A40" s="5">
        <v>2681</v>
      </c>
      <c r="B40" s="6" t="s">
        <v>141</v>
      </c>
      <c r="C40" s="7">
        <v>43741</v>
      </c>
      <c r="D40" s="5">
        <v>74</v>
      </c>
      <c r="E40" s="9" t="s">
        <v>53</v>
      </c>
      <c r="F40" s="8" t="s">
        <v>135</v>
      </c>
      <c r="G40" s="9" t="s">
        <v>136</v>
      </c>
      <c r="H40" s="8" t="str">
        <f>"000264"</f>
        <v>000264</v>
      </c>
      <c r="I40" s="7">
        <v>43521</v>
      </c>
      <c r="J40" s="8" t="str">
        <f>"000108"</f>
        <v>000108</v>
      </c>
      <c r="K40" s="7">
        <v>43663</v>
      </c>
      <c r="L40" s="8" t="str">
        <f>"000172"</f>
        <v>000172</v>
      </c>
      <c r="M40" s="7">
        <v>43664</v>
      </c>
      <c r="N40" s="8">
        <v>19</v>
      </c>
      <c r="O40" s="8" t="str">
        <f>"004810"</f>
        <v>004810</v>
      </c>
      <c r="P40" s="7">
        <v>43704</v>
      </c>
      <c r="Q40" s="10">
        <v>4.4352</v>
      </c>
      <c r="R40" s="10">
        <v>0.44352000000000003</v>
      </c>
      <c r="S40" s="10">
        <v>3.9916800000000001</v>
      </c>
      <c r="T40" s="8">
        <v>13</v>
      </c>
      <c r="U40" s="7">
        <v>43741</v>
      </c>
      <c r="V40" s="8">
        <v>9538136111</v>
      </c>
      <c r="W40" s="9" t="s">
        <v>143</v>
      </c>
      <c r="X40" s="8" t="s">
        <v>35</v>
      </c>
      <c r="Y40" s="9" t="s">
        <v>36</v>
      </c>
      <c r="Z40" s="8" t="s">
        <v>42</v>
      </c>
      <c r="AA40" s="9" t="s">
        <v>43</v>
      </c>
      <c r="AB40" s="10">
        <v>4.4352000000000003E-2</v>
      </c>
    </row>
    <row r="41" spans="1:28" s="4" customFormat="1" ht="13" x14ac:dyDescent="0.3">
      <c r="A41" s="5">
        <v>2682</v>
      </c>
      <c r="B41" s="6" t="s">
        <v>141</v>
      </c>
      <c r="C41" s="7">
        <v>43741</v>
      </c>
      <c r="D41" s="5">
        <v>74</v>
      </c>
      <c r="E41" s="9" t="s">
        <v>53</v>
      </c>
      <c r="F41" s="8" t="s">
        <v>144</v>
      </c>
      <c r="G41" s="9" t="s">
        <v>145</v>
      </c>
      <c r="H41" s="8" t="str">
        <f>"000259"</f>
        <v>000259</v>
      </c>
      <c r="I41" s="7">
        <v>43155</v>
      </c>
      <c r="J41" s="8" t="str">
        <f>"000086"</f>
        <v>000086</v>
      </c>
      <c r="K41" s="7">
        <v>43642</v>
      </c>
      <c r="L41" s="8" t="str">
        <f>"000157"</f>
        <v>000157</v>
      </c>
      <c r="M41" s="7">
        <v>43652</v>
      </c>
      <c r="N41" s="8">
        <v>18</v>
      </c>
      <c r="O41" s="8" t="str">
        <f>"005429"</f>
        <v>005429</v>
      </c>
      <c r="P41" s="7">
        <v>43732</v>
      </c>
      <c r="Q41" s="10">
        <v>24.858720000000002</v>
      </c>
      <c r="R41" s="10">
        <v>3.0533399999999999</v>
      </c>
      <c r="S41" s="10">
        <v>21.80538</v>
      </c>
      <c r="T41" s="8">
        <v>13</v>
      </c>
      <c r="U41" s="7">
        <v>43741</v>
      </c>
      <c r="V41" s="8">
        <v>9900333496</v>
      </c>
      <c r="W41" s="9" t="s">
        <v>39</v>
      </c>
      <c r="X41" s="8" t="s">
        <v>35</v>
      </c>
      <c r="Y41" s="9" t="s">
        <v>36</v>
      </c>
      <c r="Z41" s="8" t="s">
        <v>42</v>
      </c>
      <c r="AA41" s="9" t="s">
        <v>43</v>
      </c>
      <c r="AB41" s="10">
        <v>0.24858720000000001</v>
      </c>
    </row>
    <row r="42" spans="1:28" s="4" customFormat="1" ht="13" x14ac:dyDescent="0.3">
      <c r="A42" s="5">
        <v>2683</v>
      </c>
      <c r="B42" s="6" t="s">
        <v>141</v>
      </c>
      <c r="C42" s="7">
        <v>43741</v>
      </c>
      <c r="D42" s="5">
        <v>74</v>
      </c>
      <c r="E42" s="9" t="s">
        <v>53</v>
      </c>
      <c r="F42" s="8" t="s">
        <v>146</v>
      </c>
      <c r="G42" s="9" t="s">
        <v>147</v>
      </c>
      <c r="H42" s="8" t="str">
        <f>"000258"</f>
        <v>000258</v>
      </c>
      <c r="I42" s="7">
        <v>43521</v>
      </c>
      <c r="J42" s="8" t="str">
        <f>"000112"</f>
        <v>000112</v>
      </c>
      <c r="K42" s="7">
        <v>43663</v>
      </c>
      <c r="L42" s="8" t="str">
        <f>"000176"</f>
        <v>000176</v>
      </c>
      <c r="M42" s="7">
        <v>43664</v>
      </c>
      <c r="N42" s="8">
        <v>19</v>
      </c>
      <c r="O42" s="8" t="str">
        <f>"005439"</f>
        <v>005439</v>
      </c>
      <c r="P42" s="7">
        <v>43734</v>
      </c>
      <c r="Q42" s="10">
        <v>59.175020000000004</v>
      </c>
      <c r="R42" s="10">
        <v>7.4775099999999997</v>
      </c>
      <c r="S42" s="10">
        <v>51.697510000000001</v>
      </c>
      <c r="T42" s="8">
        <v>13</v>
      </c>
      <c r="U42" s="7">
        <v>43741</v>
      </c>
      <c r="V42" s="8">
        <v>9900333496</v>
      </c>
      <c r="W42" s="9" t="s">
        <v>39</v>
      </c>
      <c r="X42" s="8" t="s">
        <v>35</v>
      </c>
      <c r="Y42" s="9" t="s">
        <v>36</v>
      </c>
      <c r="Z42" s="8" t="s">
        <v>42</v>
      </c>
      <c r="AA42" s="9" t="s">
        <v>43</v>
      </c>
      <c r="AB42" s="10">
        <v>0.5917502</v>
      </c>
    </row>
    <row r="43" spans="1:28" s="4" customFormat="1" ht="13" x14ac:dyDescent="0.3">
      <c r="A43" s="5">
        <v>2684</v>
      </c>
      <c r="B43" s="6" t="s">
        <v>141</v>
      </c>
      <c r="C43" s="7">
        <v>43741</v>
      </c>
      <c r="D43" s="5">
        <v>74</v>
      </c>
      <c r="E43" s="9" t="s">
        <v>53</v>
      </c>
      <c r="F43" s="8" t="s">
        <v>148</v>
      </c>
      <c r="G43" s="9" t="s">
        <v>149</v>
      </c>
      <c r="H43" s="8" t="str">
        <f>"000259"</f>
        <v>000259</v>
      </c>
      <c r="I43" s="7">
        <v>43521</v>
      </c>
      <c r="J43" s="8" t="str">
        <f>"000111"</f>
        <v>000111</v>
      </c>
      <c r="K43" s="7">
        <v>43663</v>
      </c>
      <c r="L43" s="8" t="str">
        <f>"000175"</f>
        <v>000175</v>
      </c>
      <c r="M43" s="7">
        <v>43664</v>
      </c>
      <c r="N43" s="8">
        <v>19</v>
      </c>
      <c r="O43" s="8" t="str">
        <f>"005440"</f>
        <v>005440</v>
      </c>
      <c r="P43" s="7">
        <v>43734</v>
      </c>
      <c r="Q43" s="10">
        <v>58.9893</v>
      </c>
      <c r="R43" s="10">
        <v>7.4537100000000001</v>
      </c>
      <c r="S43" s="10">
        <v>51.535589999999999</v>
      </c>
      <c r="T43" s="8">
        <v>13</v>
      </c>
      <c r="U43" s="7">
        <v>43741</v>
      </c>
      <c r="V43" s="8">
        <v>9900333496</v>
      </c>
      <c r="W43" s="9" t="s">
        <v>39</v>
      </c>
      <c r="X43" s="8" t="s">
        <v>35</v>
      </c>
      <c r="Y43" s="9" t="s">
        <v>36</v>
      </c>
      <c r="Z43" s="8" t="s">
        <v>42</v>
      </c>
      <c r="AA43" s="9" t="s">
        <v>43</v>
      </c>
      <c r="AB43" s="10">
        <v>0.589893</v>
      </c>
    </row>
    <row r="44" spans="1:28" s="4" customFormat="1" ht="13" x14ac:dyDescent="0.3">
      <c r="A44" s="5">
        <v>2685</v>
      </c>
      <c r="B44" s="6" t="s">
        <v>141</v>
      </c>
      <c r="C44" s="7">
        <v>43741</v>
      </c>
      <c r="D44" s="5">
        <v>74</v>
      </c>
      <c r="E44" s="9" t="s">
        <v>53</v>
      </c>
      <c r="F44" s="8" t="s">
        <v>150</v>
      </c>
      <c r="G44" s="9" t="s">
        <v>151</v>
      </c>
      <c r="H44" s="8" t="str">
        <f>"000263"</f>
        <v>000263</v>
      </c>
      <c r="I44" s="7">
        <v>43521</v>
      </c>
      <c r="J44" s="8" t="str">
        <f>"000109"</f>
        <v>000109</v>
      </c>
      <c r="K44" s="7">
        <v>43663</v>
      </c>
      <c r="L44" s="8" t="str">
        <f>"000173"</f>
        <v>000173</v>
      </c>
      <c r="M44" s="7">
        <v>43664</v>
      </c>
      <c r="N44" s="8">
        <v>19</v>
      </c>
      <c r="O44" s="8" t="str">
        <f>"005441"</f>
        <v>005441</v>
      </c>
      <c r="P44" s="7">
        <v>43734</v>
      </c>
      <c r="Q44" s="10">
        <v>58.999540000000003</v>
      </c>
      <c r="R44" s="10">
        <v>7.4655100000000001</v>
      </c>
      <c r="S44" s="10">
        <v>51.534030000000001</v>
      </c>
      <c r="T44" s="8">
        <v>13</v>
      </c>
      <c r="U44" s="7">
        <v>43741</v>
      </c>
      <c r="V44" s="8">
        <v>9900333496</v>
      </c>
      <c r="W44" s="9" t="s">
        <v>39</v>
      </c>
      <c r="X44" s="8" t="s">
        <v>35</v>
      </c>
      <c r="Y44" s="9" t="s">
        <v>36</v>
      </c>
      <c r="Z44" s="8" t="s">
        <v>42</v>
      </c>
      <c r="AA44" s="9" t="s">
        <v>43</v>
      </c>
      <c r="AB44" s="10">
        <v>0.58999540000000006</v>
      </c>
    </row>
    <row r="45" spans="1:28" s="4" customFormat="1" ht="13" x14ac:dyDescent="0.3">
      <c r="A45" s="5">
        <v>2686</v>
      </c>
      <c r="B45" s="6" t="s">
        <v>141</v>
      </c>
      <c r="C45" s="7">
        <v>43741</v>
      </c>
      <c r="D45" s="5">
        <v>74</v>
      </c>
      <c r="E45" s="9" t="s">
        <v>53</v>
      </c>
      <c r="F45" s="8" t="s">
        <v>152</v>
      </c>
      <c r="G45" s="9" t="s">
        <v>153</v>
      </c>
      <c r="H45" s="8" t="str">
        <f>"000262"</f>
        <v>000262</v>
      </c>
      <c r="I45" s="7">
        <v>43521</v>
      </c>
      <c r="J45" s="8" t="str">
        <f>"000110"</f>
        <v>000110</v>
      </c>
      <c r="K45" s="7">
        <v>43663</v>
      </c>
      <c r="L45" s="8" t="str">
        <f>"000174"</f>
        <v>000174</v>
      </c>
      <c r="M45" s="7">
        <v>43664</v>
      </c>
      <c r="N45" s="8">
        <v>19</v>
      </c>
      <c r="O45" s="8" t="str">
        <f>"005442"</f>
        <v>005442</v>
      </c>
      <c r="P45" s="7">
        <v>43734</v>
      </c>
      <c r="Q45" s="10">
        <v>59.42116</v>
      </c>
      <c r="R45" s="10">
        <v>7.56053</v>
      </c>
      <c r="S45" s="10">
        <v>51.86063</v>
      </c>
      <c r="T45" s="8">
        <v>13</v>
      </c>
      <c r="U45" s="7">
        <v>43741</v>
      </c>
      <c r="V45" s="8">
        <v>9900333496</v>
      </c>
      <c r="W45" s="9" t="s">
        <v>39</v>
      </c>
      <c r="X45" s="8" t="s">
        <v>35</v>
      </c>
      <c r="Y45" s="9" t="s">
        <v>36</v>
      </c>
      <c r="Z45" s="8" t="s">
        <v>42</v>
      </c>
      <c r="AA45" s="9" t="s">
        <v>43</v>
      </c>
      <c r="AB45" s="10">
        <v>0.59421159999999995</v>
      </c>
    </row>
    <row r="46" spans="1:28" s="4" customFormat="1" ht="13" x14ac:dyDescent="0.3">
      <c r="A46" s="5">
        <v>2687</v>
      </c>
      <c r="B46" s="6" t="s">
        <v>141</v>
      </c>
      <c r="C46" s="7">
        <v>43749</v>
      </c>
      <c r="D46" s="5">
        <v>74</v>
      </c>
      <c r="E46" s="9" t="s">
        <v>53</v>
      </c>
      <c r="F46" s="8" t="s">
        <v>154</v>
      </c>
      <c r="G46" s="9" t="s">
        <v>155</v>
      </c>
      <c r="H46" s="8" t="str">
        <f>"000179"</f>
        <v>000179</v>
      </c>
      <c r="I46" s="7">
        <v>43433</v>
      </c>
      <c r="J46" s="8" t="str">
        <f>"000273"</f>
        <v>000273</v>
      </c>
      <c r="K46" s="7">
        <v>43495</v>
      </c>
      <c r="L46" s="8" t="str">
        <f>"000441"</f>
        <v>000441</v>
      </c>
      <c r="M46" s="7">
        <v>43496</v>
      </c>
      <c r="N46" s="8">
        <v>18</v>
      </c>
      <c r="O46" s="8" t="str">
        <f>"005692"</f>
        <v>005692</v>
      </c>
      <c r="P46" s="7">
        <v>43748</v>
      </c>
      <c r="Q46" s="10">
        <v>92.558390000000003</v>
      </c>
      <c r="R46" s="10">
        <v>11.24943</v>
      </c>
      <c r="S46" s="10">
        <v>81.308959999999999</v>
      </c>
      <c r="T46" s="8">
        <v>13</v>
      </c>
      <c r="U46" s="7">
        <v>43749</v>
      </c>
      <c r="V46" s="8">
        <v>9900333496</v>
      </c>
      <c r="W46" s="9" t="s">
        <v>39</v>
      </c>
      <c r="X46" s="8" t="s">
        <v>156</v>
      </c>
      <c r="Y46" s="9" t="s">
        <v>157</v>
      </c>
      <c r="Z46" s="8" t="s">
        <v>42</v>
      </c>
      <c r="AA46" s="9" t="s">
        <v>43</v>
      </c>
      <c r="AB46" s="10">
        <v>0.92558390000000001</v>
      </c>
    </row>
    <row r="47" spans="1:28" s="4" customFormat="1" ht="13" x14ac:dyDescent="0.3">
      <c r="A47" s="5">
        <v>2688</v>
      </c>
      <c r="B47" s="6" t="s">
        <v>141</v>
      </c>
      <c r="C47" s="7">
        <v>43762</v>
      </c>
      <c r="D47" s="5">
        <v>74</v>
      </c>
      <c r="E47" s="9" t="s">
        <v>53</v>
      </c>
      <c r="F47" s="8" t="s">
        <v>158</v>
      </c>
      <c r="G47" s="9" t="s">
        <v>159</v>
      </c>
      <c r="H47" s="8" t="str">
        <f>"000028"</f>
        <v>000028</v>
      </c>
      <c r="I47" s="7">
        <v>42934</v>
      </c>
      <c r="J47" s="8" t="str">
        <f>"000156"</f>
        <v>000156</v>
      </c>
      <c r="K47" s="7">
        <v>43176</v>
      </c>
      <c r="L47" s="8" t="str">
        <f>"000266"</f>
        <v>000266</v>
      </c>
      <c r="M47" s="7">
        <v>43176</v>
      </c>
      <c r="N47" s="8">
        <v>17</v>
      </c>
      <c r="O47" s="8" t="str">
        <f>"005869"</f>
        <v>005869</v>
      </c>
      <c r="P47" s="7">
        <v>43757</v>
      </c>
      <c r="Q47" s="10">
        <v>4.9316599999999999</v>
      </c>
      <c r="R47" s="10">
        <v>0.29583999999999999</v>
      </c>
      <c r="S47" s="10">
        <v>4.6358199999999998</v>
      </c>
      <c r="T47" s="8">
        <v>13</v>
      </c>
      <c r="U47" s="7">
        <v>43762</v>
      </c>
      <c r="V47" s="8">
        <v>0</v>
      </c>
      <c r="W47" s="9" t="s">
        <v>160</v>
      </c>
      <c r="X47" s="8" t="s">
        <v>32</v>
      </c>
      <c r="Y47" s="9" t="s">
        <v>33</v>
      </c>
      <c r="Z47" s="8" t="s">
        <v>42</v>
      </c>
      <c r="AA47" s="9" t="s">
        <v>43</v>
      </c>
      <c r="AB47" s="10">
        <v>4.9316600000000002E-2</v>
      </c>
    </row>
    <row r="48" spans="1:28" s="4" customFormat="1" ht="13" x14ac:dyDescent="0.3">
      <c r="A48" s="5">
        <v>2689</v>
      </c>
      <c r="B48" s="6" t="s">
        <v>161</v>
      </c>
      <c r="C48" s="7">
        <v>43777</v>
      </c>
      <c r="D48" s="5">
        <v>74</v>
      </c>
      <c r="E48" s="9" t="s">
        <v>53</v>
      </c>
      <c r="F48" s="8" t="s">
        <v>162</v>
      </c>
      <c r="G48" s="9" t="s">
        <v>163</v>
      </c>
      <c r="H48" s="8" t="str">
        <f>"000507"</f>
        <v>000507</v>
      </c>
      <c r="I48" s="7">
        <v>42870</v>
      </c>
      <c r="J48" s="8" t="str">
        <f>"000148"</f>
        <v>000148</v>
      </c>
      <c r="K48" s="7">
        <v>43347</v>
      </c>
      <c r="L48" s="8" t="str">
        <f>"000274"</f>
        <v>000274</v>
      </c>
      <c r="M48" s="7">
        <v>43358</v>
      </c>
      <c r="N48" s="8">
        <v>17</v>
      </c>
      <c r="O48" s="8" t="str">
        <f>"006089"</f>
        <v>006089</v>
      </c>
      <c r="P48" s="7">
        <v>43775</v>
      </c>
      <c r="Q48" s="10">
        <v>19.99025</v>
      </c>
      <c r="R48" s="10">
        <v>2.3049200000000001</v>
      </c>
      <c r="S48" s="10">
        <v>17.68533</v>
      </c>
      <c r="T48" s="8">
        <v>13</v>
      </c>
      <c r="U48" s="7">
        <v>43777</v>
      </c>
      <c r="V48" s="8">
        <v>9900333496</v>
      </c>
      <c r="W48" s="9" t="s">
        <v>39</v>
      </c>
      <c r="X48" s="8" t="s">
        <v>46</v>
      </c>
      <c r="Y48" s="9" t="s">
        <v>47</v>
      </c>
      <c r="Z48" s="8" t="s">
        <v>42</v>
      </c>
      <c r="AA48" s="9" t="s">
        <v>43</v>
      </c>
      <c r="AB48" s="10">
        <v>0.19990249999999998</v>
      </c>
    </row>
    <row r="49" spans="1:28" s="4" customFormat="1" ht="13" x14ac:dyDescent="0.3">
      <c r="A49" s="5">
        <v>2690</v>
      </c>
      <c r="B49" s="6" t="s">
        <v>161</v>
      </c>
      <c r="C49" s="7">
        <v>43795</v>
      </c>
      <c r="D49" s="5">
        <v>74</v>
      </c>
      <c r="E49" s="9" t="s">
        <v>53</v>
      </c>
      <c r="F49" s="8" t="s">
        <v>62</v>
      </c>
      <c r="G49" s="9" t="s">
        <v>63</v>
      </c>
      <c r="H49" s="8" t="str">
        <f>"000013"</f>
        <v>000013</v>
      </c>
      <c r="I49" s="7">
        <v>42933</v>
      </c>
      <c r="J49" s="8" t="str">
        <f>"000085"</f>
        <v>000085</v>
      </c>
      <c r="K49" s="7">
        <v>43782</v>
      </c>
      <c r="L49" s="8" t="str">
        <f>"000085"</f>
        <v>000085</v>
      </c>
      <c r="M49" s="7">
        <v>43782</v>
      </c>
      <c r="N49" s="8">
        <v>16</v>
      </c>
      <c r="O49" s="8" t="str">
        <f>"006324"</f>
        <v>006324</v>
      </c>
      <c r="P49" s="7">
        <v>43791</v>
      </c>
      <c r="Q49" s="10">
        <v>4.7938400000000003</v>
      </c>
      <c r="R49" s="10">
        <v>0.47389999999999999</v>
      </c>
      <c r="S49" s="10">
        <v>4.3199399999999999</v>
      </c>
      <c r="T49" s="8">
        <v>13</v>
      </c>
      <c r="U49" s="7">
        <v>43795</v>
      </c>
      <c r="V49" s="8">
        <v>9916368736</v>
      </c>
      <c r="W49" s="9" t="s">
        <v>64</v>
      </c>
      <c r="X49" s="8" t="s">
        <v>29</v>
      </c>
      <c r="Y49" s="9" t="s">
        <v>30</v>
      </c>
      <c r="Z49" s="8" t="s">
        <v>44</v>
      </c>
      <c r="AA49" s="9" t="s">
        <v>45</v>
      </c>
      <c r="AB49" s="10">
        <v>4.7938400000000006E-2</v>
      </c>
    </row>
    <row r="50" spans="1:28" s="4" customFormat="1" ht="13" x14ac:dyDescent="0.3">
      <c r="A50" s="5">
        <v>2691</v>
      </c>
      <c r="B50" s="6" t="s">
        <v>161</v>
      </c>
      <c r="C50" s="7">
        <v>43798</v>
      </c>
      <c r="D50" s="5">
        <v>74</v>
      </c>
      <c r="E50" s="9" t="s">
        <v>53</v>
      </c>
      <c r="F50" s="8" t="s">
        <v>164</v>
      </c>
      <c r="G50" s="9" t="s">
        <v>165</v>
      </c>
      <c r="H50" s="8" t="str">
        <f>"000130"</f>
        <v>000130</v>
      </c>
      <c r="I50" s="7">
        <v>43736</v>
      </c>
      <c r="J50" s="8" t="str">
        <f>"000187"</f>
        <v>000187</v>
      </c>
      <c r="K50" s="7">
        <v>43755</v>
      </c>
      <c r="L50" s="8" t="str">
        <f>"000295"</f>
        <v>000295</v>
      </c>
      <c r="M50" s="7">
        <v>43756</v>
      </c>
      <c r="N50" s="8">
        <v>19</v>
      </c>
      <c r="O50" s="8" t="str">
        <f>"006317"</f>
        <v>006317</v>
      </c>
      <c r="P50" s="7">
        <v>43791</v>
      </c>
      <c r="Q50" s="10">
        <v>24.775400000000001</v>
      </c>
      <c r="R50" s="10">
        <v>3.0884299999999998</v>
      </c>
      <c r="S50" s="10">
        <v>21.686969999999999</v>
      </c>
      <c r="T50" s="8">
        <v>13</v>
      </c>
      <c r="U50" s="7">
        <v>43798</v>
      </c>
      <c r="V50" s="8">
        <v>0</v>
      </c>
      <c r="W50" s="9" t="s">
        <v>39</v>
      </c>
      <c r="X50" s="8" t="s">
        <v>35</v>
      </c>
      <c r="Y50" s="9" t="s">
        <v>36</v>
      </c>
      <c r="Z50" s="8" t="s">
        <v>42</v>
      </c>
      <c r="AA50" s="9" t="s">
        <v>43</v>
      </c>
      <c r="AB50" s="10">
        <v>0.247754</v>
      </c>
    </row>
    <row r="51" spans="1:28" s="4" customFormat="1" ht="13" x14ac:dyDescent="0.3">
      <c r="A51" s="5">
        <v>2692</v>
      </c>
      <c r="B51" s="6" t="s">
        <v>161</v>
      </c>
      <c r="C51" s="7">
        <v>43798</v>
      </c>
      <c r="D51" s="5">
        <v>74</v>
      </c>
      <c r="E51" s="9" t="s">
        <v>53</v>
      </c>
      <c r="F51" s="8" t="s">
        <v>166</v>
      </c>
      <c r="G51" s="9" t="s">
        <v>167</v>
      </c>
      <c r="H51" s="8" t="str">
        <f>"000066"</f>
        <v>000066</v>
      </c>
      <c r="I51" s="7">
        <v>43699</v>
      </c>
      <c r="J51" s="8" t="str">
        <f>"000188"</f>
        <v>000188</v>
      </c>
      <c r="K51" s="7">
        <v>43755</v>
      </c>
      <c r="L51" s="8" t="str">
        <f>"000294"</f>
        <v>000294</v>
      </c>
      <c r="M51" s="7">
        <v>43755</v>
      </c>
      <c r="N51" s="8">
        <v>19</v>
      </c>
      <c r="O51" s="8" t="str">
        <f>"006318"</f>
        <v>006318</v>
      </c>
      <c r="P51" s="7">
        <v>43791</v>
      </c>
      <c r="Q51" s="10">
        <v>24.738710000000001</v>
      </c>
      <c r="R51" s="10">
        <v>3.12866</v>
      </c>
      <c r="S51" s="10">
        <v>21.610050000000001</v>
      </c>
      <c r="T51" s="8">
        <v>13</v>
      </c>
      <c r="U51" s="7">
        <v>43798</v>
      </c>
      <c r="V51" s="8">
        <v>9900333496</v>
      </c>
      <c r="W51" s="9" t="s">
        <v>39</v>
      </c>
      <c r="X51" s="8" t="s">
        <v>35</v>
      </c>
      <c r="Y51" s="9" t="s">
        <v>36</v>
      </c>
      <c r="Z51" s="8" t="s">
        <v>42</v>
      </c>
      <c r="AA51" s="9" t="s">
        <v>43</v>
      </c>
      <c r="AB51" s="10">
        <v>0.2473871</v>
      </c>
    </row>
    <row r="52" spans="1:28" s="4" customFormat="1" ht="13" x14ac:dyDescent="0.3">
      <c r="A52" s="5">
        <v>2693</v>
      </c>
      <c r="B52" s="6" t="s">
        <v>168</v>
      </c>
      <c r="C52" s="7">
        <v>43806</v>
      </c>
      <c r="D52" s="5">
        <v>74</v>
      </c>
      <c r="E52" s="9" t="s">
        <v>53</v>
      </c>
      <c r="F52" s="8" t="s">
        <v>169</v>
      </c>
      <c r="G52" s="9" t="s">
        <v>170</v>
      </c>
      <c r="H52" s="8" t="str">
        <f>"000261"</f>
        <v>000261</v>
      </c>
      <c r="I52" s="7">
        <v>43521</v>
      </c>
      <c r="J52" s="8" t="str">
        <f>"000210"</f>
        <v>000210</v>
      </c>
      <c r="K52" s="7">
        <v>43782</v>
      </c>
      <c r="L52" s="8" t="str">
        <f>"000318"</f>
        <v>000318</v>
      </c>
      <c r="M52" s="7">
        <v>43783</v>
      </c>
      <c r="N52" s="8">
        <v>19</v>
      </c>
      <c r="O52" s="8" t="str">
        <f>"006495"</f>
        <v>006495</v>
      </c>
      <c r="P52" s="7">
        <v>43798</v>
      </c>
      <c r="Q52" s="10">
        <v>51.50582</v>
      </c>
      <c r="R52" s="10">
        <v>5.7195900000000002</v>
      </c>
      <c r="S52" s="10">
        <v>45.786230000000003</v>
      </c>
      <c r="T52" s="8">
        <v>13</v>
      </c>
      <c r="U52" s="7">
        <v>43806</v>
      </c>
      <c r="V52" s="8">
        <v>9900333496</v>
      </c>
      <c r="W52" s="9" t="s">
        <v>39</v>
      </c>
      <c r="X52" s="8" t="s">
        <v>35</v>
      </c>
      <c r="Y52" s="9" t="s">
        <v>36</v>
      </c>
      <c r="Z52" s="8" t="s">
        <v>42</v>
      </c>
      <c r="AA52" s="9" t="s">
        <v>43</v>
      </c>
      <c r="AB52" s="10">
        <v>0.51505820000000002</v>
      </c>
    </row>
    <row r="53" spans="1:28" s="4" customFormat="1" ht="13" x14ac:dyDescent="0.3">
      <c r="A53" s="5">
        <v>2694</v>
      </c>
      <c r="B53" s="6" t="s">
        <v>168</v>
      </c>
      <c r="C53" s="7">
        <v>43816</v>
      </c>
      <c r="D53" s="5">
        <v>74</v>
      </c>
      <c r="E53" s="9" t="s">
        <v>53</v>
      </c>
      <c r="F53" s="8" t="s">
        <v>171</v>
      </c>
      <c r="G53" s="9" t="s">
        <v>172</v>
      </c>
      <c r="H53" s="8" t="str">
        <f>"000036"</f>
        <v>000036</v>
      </c>
      <c r="I53" s="7">
        <v>43246</v>
      </c>
      <c r="J53" s="8" t="str">
        <f>"000194"</f>
        <v>000194</v>
      </c>
      <c r="K53" s="7">
        <v>43771</v>
      </c>
      <c r="L53" s="8" t="str">
        <f>"000310"</f>
        <v>000310</v>
      </c>
      <c r="M53" s="7">
        <v>43775</v>
      </c>
      <c r="N53" s="8">
        <v>18</v>
      </c>
      <c r="O53" s="8" t="str">
        <f>"006732"</f>
        <v>006732</v>
      </c>
      <c r="P53" s="7">
        <v>43810</v>
      </c>
      <c r="Q53" s="10">
        <v>29.95187</v>
      </c>
      <c r="R53" s="10">
        <v>4.0288300000000001</v>
      </c>
      <c r="S53" s="10">
        <v>25.92304</v>
      </c>
      <c r="T53" s="8">
        <v>13</v>
      </c>
      <c r="U53" s="7">
        <v>43816</v>
      </c>
      <c r="V53" s="8">
        <v>9900333496</v>
      </c>
      <c r="W53" s="9" t="s">
        <v>39</v>
      </c>
      <c r="X53" s="8" t="s">
        <v>102</v>
      </c>
      <c r="Y53" s="9" t="s">
        <v>103</v>
      </c>
      <c r="Z53" s="8" t="s">
        <v>42</v>
      </c>
      <c r="AA53" s="9" t="s">
        <v>43</v>
      </c>
      <c r="AB53" s="10">
        <v>0.29951869999999997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2020-01-28T12:01:12Z</dcterms:modified>
</cp:coreProperties>
</file>