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6" i="1" l="1"/>
  <c r="L46" i="1"/>
  <c r="J46" i="1"/>
  <c r="H46" i="1"/>
  <c r="AB45" i="1"/>
  <c r="O45" i="1"/>
  <c r="L45" i="1"/>
  <c r="J45" i="1"/>
  <c r="H45" i="1"/>
  <c r="AB44" i="1"/>
  <c r="O44" i="1"/>
  <c r="L44" i="1"/>
  <c r="J44" i="1"/>
  <c r="H44" i="1"/>
  <c r="AB43" i="1"/>
  <c r="O43" i="1"/>
  <c r="L43" i="1"/>
  <c r="J43" i="1"/>
  <c r="H43" i="1"/>
  <c r="AB42" i="1"/>
  <c r="O42" i="1"/>
  <c r="L42" i="1"/>
  <c r="J42" i="1"/>
  <c r="H42" i="1"/>
  <c r="AB41" i="1"/>
  <c r="O41" i="1"/>
  <c r="L41" i="1"/>
  <c r="J41" i="1"/>
  <c r="H41" i="1"/>
  <c r="AB40" i="1"/>
  <c r="O40" i="1"/>
  <c r="L40" i="1"/>
  <c r="J40" i="1"/>
  <c r="H40" i="1"/>
  <c r="AB39" i="1"/>
  <c r="O39" i="1"/>
  <c r="L39" i="1"/>
  <c r="J39" i="1"/>
  <c r="H39" i="1"/>
  <c r="AB38" i="1"/>
  <c r="O38" i="1"/>
  <c r="L38" i="1"/>
  <c r="J38" i="1"/>
  <c r="H38" i="1"/>
  <c r="AB37" i="1"/>
  <c r="O37" i="1"/>
  <c r="L37" i="1"/>
  <c r="J37" i="1"/>
  <c r="H37" i="1"/>
  <c r="AB36" i="1"/>
  <c r="O36" i="1"/>
  <c r="L36" i="1"/>
  <c r="J36" i="1"/>
  <c r="H36" i="1"/>
  <c r="AB35" i="1"/>
  <c r="O35" i="1"/>
  <c r="L35" i="1"/>
  <c r="J35" i="1"/>
  <c r="H35" i="1"/>
  <c r="AB34" i="1"/>
  <c r="O34" i="1"/>
  <c r="L34" i="1"/>
  <c r="J34" i="1"/>
  <c r="H34" i="1"/>
  <c r="AB33" i="1"/>
  <c r="O33" i="1"/>
  <c r="L33" i="1"/>
  <c r="J33" i="1"/>
  <c r="H33" i="1"/>
  <c r="AB32" i="1"/>
  <c r="O32" i="1"/>
  <c r="L32" i="1"/>
  <c r="J32" i="1"/>
  <c r="H32" i="1"/>
  <c r="AB31" i="1"/>
  <c r="O31" i="1"/>
  <c r="L31" i="1"/>
  <c r="J31" i="1"/>
  <c r="H31" i="1"/>
  <c r="AB30" i="1"/>
  <c r="O30" i="1"/>
  <c r="L30" i="1"/>
  <c r="J30" i="1"/>
  <c r="H30" i="1"/>
  <c r="AB29" i="1"/>
  <c r="O29" i="1"/>
  <c r="L29" i="1"/>
  <c r="J29" i="1"/>
  <c r="H29" i="1"/>
  <c r="AB28" i="1"/>
  <c r="O28" i="1"/>
  <c r="L28" i="1"/>
  <c r="J28" i="1"/>
  <c r="H28" i="1"/>
  <c r="AB27" i="1"/>
  <c r="O27" i="1"/>
  <c r="L27" i="1"/>
  <c r="J27" i="1"/>
  <c r="H27" i="1"/>
  <c r="AB26" i="1"/>
  <c r="O26" i="1"/>
  <c r="L26" i="1"/>
  <c r="J26" i="1"/>
  <c r="H26" i="1"/>
  <c r="AB25" i="1"/>
  <c r="O25" i="1"/>
  <c r="L25" i="1"/>
  <c r="J25" i="1"/>
  <c r="H25" i="1"/>
  <c r="O24" i="1"/>
  <c r="L24" i="1"/>
  <c r="J24" i="1"/>
  <c r="H24" i="1"/>
  <c r="O23" i="1"/>
  <c r="L23" i="1"/>
  <c r="J23" i="1"/>
  <c r="H23" i="1"/>
  <c r="O22" i="1"/>
  <c r="L22" i="1"/>
  <c r="J22" i="1"/>
  <c r="H22" i="1"/>
  <c r="O21" i="1"/>
  <c r="L21" i="1"/>
  <c r="J21" i="1"/>
  <c r="H21" i="1"/>
  <c r="O20" i="1"/>
  <c r="L20" i="1"/>
  <c r="J20" i="1"/>
  <c r="H20" i="1"/>
  <c r="O19" i="1"/>
  <c r="L19" i="1"/>
  <c r="J19" i="1"/>
  <c r="H19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<sst xmlns="http://schemas.openxmlformats.org/spreadsheetml/2006/main" count="433" uniqueCount="176">
  <si>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</si>
  <si>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</si>
  <si>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</si>
  <si>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</si>
  <si>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</si>
  <si>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</si>
  <si>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</si>
  <si>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</si>
  <si>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</si>
  <si>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</si>
  <si>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</si>
  <si>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</si>
  <si>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</si>
  <si>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</si>
  <si>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</si>
  <si>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</si>
  <si>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</si>
  <si>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</si>
  <si>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</si>
  <si>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</si>
  <si>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</si>
  <si>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</si>
  <si>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</si>
  <si>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</si>
  <si>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</si>
  <si>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</si>
  <si>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</si>
  <si>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</si>
  <si>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</si>
  <si>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P0300</t>
  </si>
  <si>
    <t>M and R to Street Lights - Replacement of Burnt Bulbs etc. (Package)</t>
  </si>
  <si>
    <t>June</t>
  </si>
  <si>
    <t>P1771</t>
  </si>
  <si>
    <t>Zone Works - POW Works</t>
  </si>
  <si>
    <t>May</t>
  </si>
  <si>
    <t>P3111</t>
  </si>
  <si>
    <t>State Finance Commission Untied Grant Works</t>
  </si>
  <si>
    <t>P0190</t>
  </si>
  <si>
    <t>Works sanctioned by Hon Mayor</t>
  </si>
  <si>
    <t>kridl</t>
  </si>
  <si>
    <t>P2415</t>
  </si>
  <si>
    <t>Reserve fund for TandF Committee</t>
  </si>
  <si>
    <t>ddo209</t>
  </si>
  <si>
    <t xml:space="preserve"> Assistant Executive Engineer Electrical West Zone</t>
  </si>
  <si>
    <t>Kridl</t>
  </si>
  <si>
    <t>Executive Engineer, KRIDL</t>
  </si>
  <si>
    <t>ddo326</t>
  </si>
  <si>
    <t xml:space="preserve"> Executive Engineer SWM 1 Central Zone</t>
  </si>
  <si>
    <t>P3075</t>
  </si>
  <si>
    <t>Special comprehensive development works in Bangalore city (Bangalore city in charge Minister Discretionary Grants)</t>
  </si>
  <si>
    <t>ddo313</t>
  </si>
  <si>
    <t xml:space="preserve"> Chief Engineer SWD Central Zone</t>
  </si>
  <si>
    <t>P3294</t>
  </si>
  <si>
    <t>14th Finance Commission Works - General Public ToiletandSeptage Maintenance</t>
  </si>
  <si>
    <t>ddo200</t>
  </si>
  <si>
    <t xml:space="preserve"> Assistant Executive Engineer Nagapura West Zone</t>
  </si>
  <si>
    <t>Shankara Matta</t>
  </si>
  <si>
    <t>075-16-000066</t>
  </si>
  <si>
    <t>Providing asphalting to 3rd main Vyalikaval (mahalakshmi Vruddashrama) in ward No -75 shankaramatt</t>
  </si>
  <si>
    <t>075-17-000034</t>
  </si>
  <si>
    <t>Construction of Cement Concrete road at J C Nagar ward no 75</t>
  </si>
  <si>
    <t>075-17-000045</t>
  </si>
  <si>
    <t>Construction of RCC Drain at Kurubarahalli Main road in ward no 75</t>
  </si>
  <si>
    <t>075-16-000054</t>
  </si>
  <si>
    <t>Improvements to drains at 1st C Cross and 24th F main in ward no 75</t>
  </si>
  <si>
    <t>075-16-000001</t>
  </si>
  <si>
    <t xml:space="preserve"> Annual Operation And maintenance Of Street Lights at Shankarmutt in Ward No- 75</t>
  </si>
  <si>
    <t>Sri Lakshmi Narasimha Electricals</t>
  </si>
  <si>
    <t>075-17-000087</t>
  </si>
  <si>
    <t>Improvements to drain and providing B.s.slab drain to 16th A main in J.C.Nagara in ward NO.75</t>
  </si>
  <si>
    <t>N.venkatareddy</t>
  </si>
  <si>
    <t>075-16-000051</t>
  </si>
  <si>
    <t>Improvement to drains at 1st C Cross in ward no 75</t>
  </si>
  <si>
    <t>075-19-000018</t>
  </si>
  <si>
    <t>Improvements to road and drains at 17th main J C Nagara and surrounding in ward no 75 Shankarmutt</t>
  </si>
  <si>
    <t>075-17-000036</t>
  </si>
  <si>
    <t>Improvement of Footpath in ward no 75</t>
  </si>
  <si>
    <t>075-18-000017</t>
  </si>
  <si>
    <t>Construction of Toilet in ward no 75 Shankarmutt</t>
  </si>
  <si>
    <t>075-19-000002</t>
  </si>
  <si>
    <t>Improvements Roads Drains and other development work at Venkateswara temple to KEC Colony  in ward no 75 Shankarmutt</t>
  </si>
  <si>
    <t>075-19-000019</t>
  </si>
  <si>
    <t>Improvements road and drains and covering slab at Karumariyamma temple surrounding area in ward no 75 Shankarmutt</t>
  </si>
  <si>
    <t>075-17-000059</t>
  </si>
  <si>
    <t>New RCC drains at Karnataka layout 2nd stage in ward no 75 Shankarmutt</t>
  </si>
  <si>
    <t>075-16-000050</t>
  </si>
  <si>
    <t>Providing CC drains and covering slab in 13th 14th main in JC Nagara in ward no 75</t>
  </si>
  <si>
    <t>075-17-000044</t>
  </si>
  <si>
    <t>Construction of RCC Drain at KEC and VHBCS layout ward no 75</t>
  </si>
  <si>
    <t>075-17-000079</t>
  </si>
  <si>
    <t>Improvements of drains and roads at Kurubarahalli in ward No.7575</t>
  </si>
  <si>
    <t>J.G.Ravindra (Sri.Lakshmi Venkateshwara Enterprises)</t>
  </si>
  <si>
    <t>075-17-000077</t>
  </si>
  <si>
    <t>Providing and fixing of street name boards in ward No.75</t>
  </si>
  <si>
    <t>N.Rangaswamy</t>
  </si>
  <si>
    <t>075-16-000020</t>
  </si>
  <si>
    <t>Providing patch work for concrete road at J.C.Nagara in ward No 75</t>
  </si>
  <si>
    <t>Mahadevaiah</t>
  </si>
  <si>
    <t>075-17-000042</t>
  </si>
  <si>
    <t>Construction of RCC drain surrounding areas of 23rd and 24th main in ward no 75</t>
  </si>
  <si>
    <t>075-17-000043</t>
  </si>
  <si>
    <t>Construction of Cement Concrete road at surrounding area of 15th main in ward no 75</t>
  </si>
  <si>
    <t>075-17-000110</t>
  </si>
  <si>
    <t>Improvements to drains at 1st D Cross Satyanarayana layout in ward No.75</t>
  </si>
  <si>
    <t>075-17-000115</t>
  </si>
  <si>
    <t>Improvements Shambamurthy Park Gruhalakshmi layout in ward no 75 Shankarmutt</t>
  </si>
  <si>
    <t>075-17-000046</t>
  </si>
  <si>
    <t>Construction of U Shape drain with covering slab for secondary storm water at 4th cross behind Anjaneya Gudda Kamalanagara in ward no 75</t>
  </si>
  <si>
    <t>M/s. KRIDL</t>
  </si>
  <si>
    <t>July</t>
  </si>
  <si>
    <t>075-18-000007</t>
  </si>
  <si>
    <t>Improvements to park near Anjaneya temple in ward No.75</t>
  </si>
  <si>
    <t>P3359</t>
  </si>
  <si>
    <t>Developmental works in Mahlakshmi Layout Assembly Constituency</t>
  </si>
  <si>
    <t>075-18-000004</t>
  </si>
  <si>
    <t>Providing GYM equipments in Gruhalakshmi layout park in ward No.75</t>
  </si>
  <si>
    <t>P2178</t>
  </si>
  <si>
    <t>Works sanctioned by Dy. Mayor</t>
  </si>
  <si>
    <t>075-19-000020</t>
  </si>
  <si>
    <t>Drilling of Borewell and providing pipeline and other development works at Anjaneyagudda surrounding in ward no 75</t>
  </si>
  <si>
    <t>P3409</t>
  </si>
  <si>
    <t>SFC Untied SC-SP/TSP Grant works</t>
  </si>
  <si>
    <t>075-16-000040</t>
  </si>
  <si>
    <t>Providing asphalting and development of SVK Layout and surroundings main roads and cross roads in ward No.75</t>
  </si>
  <si>
    <t>Rayee gowda</t>
  </si>
  <si>
    <t>P3106</t>
  </si>
  <si>
    <t>Nagarothana Works</t>
  </si>
  <si>
    <t>075-16-000044</t>
  </si>
  <si>
    <t>Providing asphalting and development of karnataka layout mainroads and cross roads in ward NO.74</t>
  </si>
  <si>
    <t>075-13-000001</t>
  </si>
  <si>
    <t>Asphalting to 12th and 13th main in JC nagar in W-75</t>
  </si>
  <si>
    <t>B.M.Chandraiah</t>
  </si>
  <si>
    <t>075-14-000003</t>
  </si>
  <si>
    <t xml:space="preserve">Pot hole filling in ward no -75 </t>
  </si>
  <si>
    <t>075-17-000037</t>
  </si>
  <si>
    <t>Construction of RCC Drain and roads in 15th Main at JC Nagar ward no 75</t>
  </si>
  <si>
    <t>075-17-000083</t>
  </si>
  <si>
    <t>Maintenance of Borewell in ward NO.75</t>
  </si>
  <si>
    <t>C.Lokesh</t>
  </si>
  <si>
    <t>August</t>
  </si>
  <si>
    <t>075-17-000094</t>
  </si>
  <si>
    <t xml:space="preserve">Providing drinking water works in Ward No 75 in Mahalakshmi lyt Division </t>
  </si>
  <si>
    <t>P3110</t>
  </si>
  <si>
    <t>14th Finance Commission Grant Works</t>
  </si>
  <si>
    <t>075-12-000002</t>
  </si>
  <si>
    <t>Providing asphalting to road from Shankar mutt circle to Kurubarahalli in Ward No.75</t>
  </si>
  <si>
    <t>P2019</t>
  </si>
  <si>
    <t>Major Road / Arterial / Sub Arterial Road Major Road Division</t>
  </si>
  <si>
    <t>075-17-000116</t>
  </si>
  <si>
    <t>Improvements roads and drain at ward no 75</t>
  </si>
  <si>
    <t>075-17-000117</t>
  </si>
  <si>
    <t>Providing CC road at J C Nagara in ward no 75</t>
  </si>
  <si>
    <t>075-17-000050</t>
  </si>
  <si>
    <t>Pot Hole Filling ward no 75 Shankarmutt</t>
  </si>
  <si>
    <t>075-17-000111</t>
  </si>
  <si>
    <t>Construction of Dyana Mandira Hall in VHBCS Layout M G Slum in ward no 75 Shankarmutt</t>
  </si>
  <si>
    <t>N.Venkatareddy</t>
  </si>
  <si>
    <t>075-19-000017</t>
  </si>
  <si>
    <t>Improvements to Siddaruda park at Pipeline road in ward no 75 Shankarmutt</t>
  </si>
  <si>
    <t>H.N.Shivashankar</t>
  </si>
  <si>
    <t>075-17-000051</t>
  </si>
  <si>
    <t>Pot Hole Filling (concrete Roads) in ward no 75 Shankarmutt</t>
  </si>
  <si>
    <t>September</t>
  </si>
  <si>
    <t>075-18-000020</t>
  </si>
  <si>
    <t>Providing chainlink fencing and other development works at SWD drains in ward no 75 Shankarmutt</t>
  </si>
  <si>
    <t>P3297</t>
  </si>
  <si>
    <t>14th Finance Commission Grants - SWD Works</t>
  </si>
  <si>
    <t>075-17-000098</t>
  </si>
  <si>
    <t>Drilling of borewells in ward no 75</t>
  </si>
  <si>
    <t>P3175</t>
  </si>
  <si>
    <t>Special development works in ward No.172, 154, 197, 77, 75, 192, 102, 18, 41 (Rs.400 lakhs each ward)</t>
  </si>
  <si>
    <t>075-17-000105</t>
  </si>
  <si>
    <t>Rain water harvesting and perculation pit in ward no 75</t>
  </si>
  <si>
    <t>October</t>
  </si>
  <si>
    <t>Providing Consultancy services for Preparation of Detailed Project Report (DPR) for the works of Package-2 under the P-code of P3111 ( State Finance Commission United Grant Works) in Mahalakshmipuram Division</t>
  </si>
  <si>
    <t>M/s Accord Consultants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</si>
</sst>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tabSelected="1" topLeftCell="A31" workbookViewId="0">
      <selection activeCell="A2" sqref="A2:XFD46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8.6328125" bestFit="1" customWidth="1"/>
    <col min="5" max="5" width="12.453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s="4" customFormat="1" ht="13" x14ac:dyDescent="0.3">
      <c r="A2" s="5">
        <v>2695</v>
      </c>
      <c r="B2" s="6" t="s">
        <v>28</v>
      </c>
      <c r="C2" s="7">
        <v>43580</v>
      </c>
      <c r="D2" s="8">
        <v>75</v>
      </c>
      <c r="E2" s="9" t="s">
        <v>56</v>
      </c>
      <c r="F2" s="8" t="s">
        <v>57</v>
      </c>
      <c r="G2" s="9" t="s">
        <v>58</v>
      </c>
      <c r="H2" s="8" t="str">
        <f>"000148"</f>
        <v>000148</v>
      </c>
      <c r="I2" s="7">
        <v>42550</v>
      </c>
      <c r="J2" s="8" t="str">
        <f>"000138"</f>
        <v>000138</v>
      </c>
      <c r="K2" s="7">
        <v>42916</v>
      </c>
      <c r="L2" s="8" t="str">
        <f>"000369"</f>
        <v>000369</v>
      </c>
      <c r="M2" s="7">
        <v>42916</v>
      </c>
      <c r="N2" s="8">
        <v>16</v>
      </c>
      <c r="O2" s="8" t="str">
        <f>"000753"</f>
        <v>000753</v>
      </c>
      <c r="P2" s="7">
        <v>43578</v>
      </c>
      <c r="Q2" s="10">
        <v>19.816949999999999</v>
      </c>
      <c r="R2" s="10">
        <v>2.9714800000000001</v>
      </c>
      <c r="S2" s="10">
        <v>16.845469999999999</v>
      </c>
      <c r="T2" s="8">
        <v>28</v>
      </c>
      <c r="U2" s="7">
        <v>43580</v>
      </c>
      <c r="V2" s="8">
        <v>9900333496</v>
      </c>
      <c r="W2" s="9" t="s">
        <v>39</v>
      </c>
      <c r="X2" s="8" t="s">
        <v>37</v>
      </c>
      <c r="Y2" s="9" t="s">
        <v>38</v>
      </c>
      <c r="Z2" s="8" t="s">
        <v>54</v>
      </c>
      <c r="AA2" s="9" t="s">
        <v>55</v>
      </c>
      <c r="AB2" s="10">
        <f t="shared" ref="AB2:AB17" si="0">Q2/100</f>
        <v>0.1981695</v>
      </c>
    </row>
    <row r="3" spans="1:28" s="4" customFormat="1" ht="13" x14ac:dyDescent="0.3">
      <c r="A3" s="5">
        <v>2696</v>
      </c>
      <c r="B3" s="6" t="s">
        <v>28</v>
      </c>
      <c r="C3" s="7">
        <v>43580</v>
      </c>
      <c r="D3" s="8">
        <v>75</v>
      </c>
      <c r="E3" s="9" t="s">
        <v>56</v>
      </c>
      <c r="F3" s="8" t="s">
        <v>59</v>
      </c>
      <c r="G3" s="9" t="s">
        <v>60</v>
      </c>
      <c r="H3" s="8" t="str">
        <f>"000418"</f>
        <v>000418</v>
      </c>
      <c r="I3" s="7">
        <v>42772</v>
      </c>
      <c r="J3" s="8" t="str">
        <f>"000135"</f>
        <v>000135</v>
      </c>
      <c r="K3" s="7">
        <v>42916</v>
      </c>
      <c r="L3" s="8" t="str">
        <f>"000370"</f>
        <v>000370</v>
      </c>
      <c r="M3" s="7">
        <v>42916</v>
      </c>
      <c r="N3" s="8">
        <v>17</v>
      </c>
      <c r="O3" s="8" t="str">
        <f>"000754"</f>
        <v>000754</v>
      </c>
      <c r="P3" s="7">
        <v>43578</v>
      </c>
      <c r="Q3" s="10">
        <v>47.95767</v>
      </c>
      <c r="R3" s="10">
        <v>7.4114500000000003</v>
      </c>
      <c r="S3" s="10">
        <v>40.546219999999998</v>
      </c>
      <c r="T3" s="8">
        <v>28</v>
      </c>
      <c r="U3" s="7">
        <v>43580</v>
      </c>
      <c r="V3" s="8">
        <v>9900333496</v>
      </c>
      <c r="W3" s="9" t="s">
        <v>39</v>
      </c>
      <c r="X3" s="8" t="s">
        <v>48</v>
      </c>
      <c r="Y3" s="9" t="s">
        <v>49</v>
      </c>
      <c r="Z3" s="8" t="s">
        <v>54</v>
      </c>
      <c r="AA3" s="9" t="s">
        <v>55</v>
      </c>
      <c r="AB3" s="10">
        <f t="shared" si="0"/>
        <v>0.47957670000000002</v>
      </c>
    </row>
    <row r="4" spans="1:28" s="4" customFormat="1" ht="13" x14ac:dyDescent="0.3">
      <c r="A4" s="5">
        <v>2697</v>
      </c>
      <c r="B4" s="6" t="s">
        <v>28</v>
      </c>
      <c r="C4" s="7">
        <v>43580</v>
      </c>
      <c r="D4" s="8">
        <v>75</v>
      </c>
      <c r="E4" s="9" t="s">
        <v>56</v>
      </c>
      <c r="F4" s="8" t="s">
        <v>61</v>
      </c>
      <c r="G4" s="9" t="s">
        <v>62</v>
      </c>
      <c r="H4" s="8" t="str">
        <f>"000425"</f>
        <v>000425</v>
      </c>
      <c r="I4" s="7">
        <v>42772</v>
      </c>
      <c r="J4" s="8" t="str">
        <f>"000139"</f>
        <v>000139</v>
      </c>
      <c r="K4" s="7">
        <v>42916</v>
      </c>
      <c r="L4" s="8" t="str">
        <f>"000372"</f>
        <v>000372</v>
      </c>
      <c r="M4" s="7">
        <v>42916</v>
      </c>
      <c r="N4" s="8">
        <v>17</v>
      </c>
      <c r="O4" s="8" t="str">
        <f>"000755"</f>
        <v>000755</v>
      </c>
      <c r="P4" s="7">
        <v>43578</v>
      </c>
      <c r="Q4" s="10">
        <v>48.059649999999998</v>
      </c>
      <c r="R4" s="10">
        <v>7.0176299999999996</v>
      </c>
      <c r="S4" s="10">
        <v>41.042020000000001</v>
      </c>
      <c r="T4" s="8">
        <v>28</v>
      </c>
      <c r="U4" s="7">
        <v>43580</v>
      </c>
      <c r="V4" s="8">
        <v>9900333496</v>
      </c>
      <c r="W4" s="9" t="s">
        <v>39</v>
      </c>
      <c r="X4" s="8" t="s">
        <v>48</v>
      </c>
      <c r="Y4" s="9" t="s">
        <v>49</v>
      </c>
      <c r="Z4" s="8" t="s">
        <v>54</v>
      </c>
      <c r="AA4" s="9" t="s">
        <v>55</v>
      </c>
      <c r="AB4" s="10">
        <f t="shared" si="0"/>
        <v>0.48059649999999998</v>
      </c>
    </row>
    <row r="5" spans="1:28" s="4" customFormat="1" ht="13" x14ac:dyDescent="0.3">
      <c r="A5" s="5">
        <v>2698</v>
      </c>
      <c r="B5" s="6" t="s">
        <v>28</v>
      </c>
      <c r="C5" s="7">
        <v>43580</v>
      </c>
      <c r="D5" s="8">
        <v>75</v>
      </c>
      <c r="E5" s="9" t="s">
        <v>56</v>
      </c>
      <c r="F5" s="8" t="s">
        <v>63</v>
      </c>
      <c r="G5" s="9" t="s">
        <v>64</v>
      </c>
      <c r="H5" s="8" t="str">
        <f>"000150"</f>
        <v>000150</v>
      </c>
      <c r="I5" s="7">
        <v>42550</v>
      </c>
      <c r="J5" s="8" t="str">
        <f>"000134"</f>
        <v>000134</v>
      </c>
      <c r="K5" s="7">
        <v>42916</v>
      </c>
      <c r="L5" s="8" t="str">
        <f>"000373"</f>
        <v>000373</v>
      </c>
      <c r="M5" s="7">
        <v>42916</v>
      </c>
      <c r="N5" s="8">
        <v>16</v>
      </c>
      <c r="O5" s="8" t="str">
        <f>"000757"</f>
        <v>000757</v>
      </c>
      <c r="P5" s="7">
        <v>43578</v>
      </c>
      <c r="Q5" s="10">
        <v>19.772770000000001</v>
      </c>
      <c r="R5" s="10">
        <v>2.9773299999999998</v>
      </c>
      <c r="S5" s="10">
        <v>16.795439999999999</v>
      </c>
      <c r="T5" s="8">
        <v>28</v>
      </c>
      <c r="U5" s="7">
        <v>43580</v>
      </c>
      <c r="V5" s="8">
        <v>9900333496</v>
      </c>
      <c r="W5" s="9" t="s">
        <v>39</v>
      </c>
      <c r="X5" s="8" t="s">
        <v>40</v>
      </c>
      <c r="Y5" s="9" t="s">
        <v>41</v>
      </c>
      <c r="Z5" s="8" t="s">
        <v>54</v>
      </c>
      <c r="AA5" s="9" t="s">
        <v>55</v>
      </c>
      <c r="AB5" s="10">
        <f t="shared" si="0"/>
        <v>0.19772770000000001</v>
      </c>
    </row>
    <row r="6" spans="1:28" s="4" customFormat="1" ht="13" x14ac:dyDescent="0.3">
      <c r="A6" s="5">
        <v>2699</v>
      </c>
      <c r="B6" s="6" t="s">
        <v>28</v>
      </c>
      <c r="C6" s="7">
        <v>43580</v>
      </c>
      <c r="D6" s="8">
        <v>75</v>
      </c>
      <c r="E6" s="9" t="s">
        <v>56</v>
      </c>
      <c r="F6" s="8" t="s">
        <v>65</v>
      </c>
      <c r="G6" s="9" t="s">
        <v>66</v>
      </c>
      <c r="H6" s="8" t="str">
        <f>"000012"</f>
        <v>000012</v>
      </c>
      <c r="I6" s="7">
        <v>42933</v>
      </c>
      <c r="J6" s="8" t="str">
        <f>"000218"</f>
        <v>000218</v>
      </c>
      <c r="K6" s="7">
        <v>43498</v>
      </c>
      <c r="L6" s="8" t="str">
        <f>"000217"</f>
        <v>000217</v>
      </c>
      <c r="M6" s="7">
        <v>43498</v>
      </c>
      <c r="N6" s="8">
        <v>16</v>
      </c>
      <c r="O6" s="8" t="str">
        <f>"000984"</f>
        <v>000984</v>
      </c>
      <c r="P6" s="7">
        <v>43579</v>
      </c>
      <c r="Q6" s="10">
        <v>11.35491</v>
      </c>
      <c r="R6" s="10">
        <v>1.1225099999999999</v>
      </c>
      <c r="S6" s="10">
        <v>10.2324</v>
      </c>
      <c r="T6" s="8">
        <v>29</v>
      </c>
      <c r="U6" s="7">
        <v>43580</v>
      </c>
      <c r="V6" s="8">
        <v>9343953602</v>
      </c>
      <c r="W6" s="9" t="s">
        <v>67</v>
      </c>
      <c r="X6" s="8" t="s">
        <v>29</v>
      </c>
      <c r="Y6" s="9" t="s">
        <v>30</v>
      </c>
      <c r="Z6" s="8" t="s">
        <v>42</v>
      </c>
      <c r="AA6" s="9" t="s">
        <v>43</v>
      </c>
      <c r="AB6" s="10">
        <f t="shared" si="0"/>
        <v>0.1135491</v>
      </c>
    </row>
    <row r="7" spans="1:28" s="4" customFormat="1" ht="13" x14ac:dyDescent="0.3">
      <c r="A7" s="5">
        <v>2700</v>
      </c>
      <c r="B7" s="6" t="s">
        <v>34</v>
      </c>
      <c r="C7" s="7">
        <v>43591</v>
      </c>
      <c r="D7" s="8">
        <v>75</v>
      </c>
      <c r="E7" s="9" t="s">
        <v>56</v>
      </c>
      <c r="F7" s="8" t="s">
        <v>83</v>
      </c>
      <c r="G7" s="9" t="s">
        <v>84</v>
      </c>
      <c r="H7" s="8" t="str">
        <f>"000544"</f>
        <v>000544</v>
      </c>
      <c r="I7" s="7">
        <v>42825</v>
      </c>
      <c r="J7" s="8" t="str">
        <f>"000142"</f>
        <v>000142</v>
      </c>
      <c r="K7" s="7">
        <v>42916</v>
      </c>
      <c r="L7" s="8" t="str">
        <f>"000375"</f>
        <v>000375</v>
      </c>
      <c r="M7" s="7">
        <v>42916</v>
      </c>
      <c r="N7" s="8">
        <v>17</v>
      </c>
      <c r="O7" s="8" t="str">
        <f>"001188"</f>
        <v>001188</v>
      </c>
      <c r="P7" s="7">
        <v>43582</v>
      </c>
      <c r="Q7" s="10">
        <v>19.558630000000001</v>
      </c>
      <c r="R7" s="10">
        <v>2.7548900000000001</v>
      </c>
      <c r="S7" s="10">
        <v>16.803740000000001</v>
      </c>
      <c r="T7" s="8">
        <v>37</v>
      </c>
      <c r="U7" s="7">
        <v>43591</v>
      </c>
      <c r="V7" s="8">
        <v>9900333496</v>
      </c>
      <c r="W7" s="9" t="s">
        <v>39</v>
      </c>
      <c r="X7" s="8" t="s">
        <v>40</v>
      </c>
      <c r="Y7" s="9" t="s">
        <v>41</v>
      </c>
      <c r="Z7" s="8" t="s">
        <v>54</v>
      </c>
      <c r="AA7" s="9" t="s">
        <v>55</v>
      </c>
      <c r="AB7" s="10">
        <f t="shared" si="0"/>
        <v>0.19558630000000002</v>
      </c>
    </row>
    <row r="8" spans="1:28" s="4" customFormat="1" ht="13" x14ac:dyDescent="0.3">
      <c r="A8" s="5">
        <v>2701</v>
      </c>
      <c r="B8" s="6" t="s">
        <v>34</v>
      </c>
      <c r="C8" s="7">
        <v>43591</v>
      </c>
      <c r="D8" s="8">
        <v>75</v>
      </c>
      <c r="E8" s="9" t="s">
        <v>56</v>
      </c>
      <c r="F8" s="8" t="s">
        <v>85</v>
      </c>
      <c r="G8" s="9" t="s">
        <v>86</v>
      </c>
      <c r="H8" s="8" t="str">
        <f>"000002"</f>
        <v>000002</v>
      </c>
      <c r="I8" s="7">
        <v>42933</v>
      </c>
      <c r="J8" s="8" t="str">
        <f>"000001"</f>
        <v>000001</v>
      </c>
      <c r="K8" s="7">
        <v>42933</v>
      </c>
      <c r="L8" s="8" t="str">
        <f>"000001"</f>
        <v>000001</v>
      </c>
      <c r="M8" s="7">
        <v>42933</v>
      </c>
      <c r="N8" s="8">
        <v>16</v>
      </c>
      <c r="O8" s="8" t="str">
        <f>"001191"</f>
        <v>001191</v>
      </c>
      <c r="P8" s="7">
        <v>43582</v>
      </c>
      <c r="Q8" s="10">
        <v>16.409479999999999</v>
      </c>
      <c r="R8" s="10">
        <v>2.4064700000000001</v>
      </c>
      <c r="S8" s="10">
        <v>14.00301</v>
      </c>
      <c r="T8" s="8">
        <v>37</v>
      </c>
      <c r="U8" s="7">
        <v>43591</v>
      </c>
      <c r="V8" s="8">
        <v>9900333496</v>
      </c>
      <c r="W8" s="9" t="s">
        <v>39</v>
      </c>
      <c r="X8" s="8" t="s">
        <v>40</v>
      </c>
      <c r="Y8" s="9" t="s">
        <v>41</v>
      </c>
      <c r="Z8" s="8" t="s">
        <v>54</v>
      </c>
      <c r="AA8" s="9" t="s">
        <v>55</v>
      </c>
      <c r="AB8" s="10">
        <f t="shared" si="0"/>
        <v>0.16409479999999999</v>
      </c>
    </row>
    <row r="9" spans="1:28" s="4" customFormat="1" ht="13" x14ac:dyDescent="0.3">
      <c r="A9" s="5">
        <v>2702</v>
      </c>
      <c r="B9" s="6" t="s">
        <v>34</v>
      </c>
      <c r="C9" s="7">
        <v>43591</v>
      </c>
      <c r="D9" s="8">
        <v>75</v>
      </c>
      <c r="E9" s="9" t="s">
        <v>56</v>
      </c>
      <c r="F9" s="8" t="s">
        <v>87</v>
      </c>
      <c r="G9" s="9" t="s">
        <v>88</v>
      </c>
      <c r="H9" s="8" t="str">
        <f>"000424"</f>
        <v>000424</v>
      </c>
      <c r="I9" s="7">
        <v>42772</v>
      </c>
      <c r="J9" s="8" t="str">
        <f>"000007"</f>
        <v>000007</v>
      </c>
      <c r="K9" s="7">
        <v>42969</v>
      </c>
      <c r="L9" s="8" t="str">
        <f>"000008"</f>
        <v>000008</v>
      </c>
      <c r="M9" s="7">
        <v>42969</v>
      </c>
      <c r="N9" s="8">
        <v>17</v>
      </c>
      <c r="O9" s="8" t="str">
        <f>"001276"</f>
        <v>001276</v>
      </c>
      <c r="P9" s="7">
        <v>43587</v>
      </c>
      <c r="Q9" s="10">
        <v>48.350099999999998</v>
      </c>
      <c r="R9" s="10">
        <v>7.2084000000000001</v>
      </c>
      <c r="S9" s="10">
        <v>41.1417</v>
      </c>
      <c r="T9" s="8">
        <v>37</v>
      </c>
      <c r="U9" s="7">
        <v>43591</v>
      </c>
      <c r="V9" s="8">
        <v>9900333496</v>
      </c>
      <c r="W9" s="9" t="s">
        <v>44</v>
      </c>
      <c r="X9" s="8" t="s">
        <v>48</v>
      </c>
      <c r="Y9" s="9" t="s">
        <v>49</v>
      </c>
      <c r="Z9" s="8" t="s">
        <v>54</v>
      </c>
      <c r="AA9" s="9" t="s">
        <v>55</v>
      </c>
      <c r="AB9" s="10">
        <f t="shared" si="0"/>
        <v>0.48350099999999996</v>
      </c>
    </row>
    <row r="10" spans="1:28" s="4" customFormat="1" ht="13" x14ac:dyDescent="0.3">
      <c r="A10" s="5">
        <v>2703</v>
      </c>
      <c r="B10" s="6" t="s">
        <v>34</v>
      </c>
      <c r="C10" s="7">
        <v>43591</v>
      </c>
      <c r="D10" s="8">
        <v>75</v>
      </c>
      <c r="E10" s="9" t="s">
        <v>56</v>
      </c>
      <c r="F10" s="8" t="s">
        <v>89</v>
      </c>
      <c r="G10" s="9" t="s">
        <v>90</v>
      </c>
      <c r="H10" s="8" t="str">
        <f>"000002"</f>
        <v>000002</v>
      </c>
      <c r="I10" s="7">
        <v>42831</v>
      </c>
      <c r="J10" s="8" t="str">
        <f>"000008"</f>
        <v>000008</v>
      </c>
      <c r="K10" s="7">
        <v>42975</v>
      </c>
      <c r="L10" s="8" t="str">
        <f>"000012"</f>
        <v>000012</v>
      </c>
      <c r="M10" s="7">
        <v>42975</v>
      </c>
      <c r="N10" s="8">
        <v>17</v>
      </c>
      <c r="O10" s="8" t="str">
        <f>"001293"</f>
        <v>001293</v>
      </c>
      <c r="P10" s="7">
        <v>43587</v>
      </c>
      <c r="Q10" s="10">
        <v>12.441520000000001</v>
      </c>
      <c r="R10" s="10">
        <v>1.0379700000000001</v>
      </c>
      <c r="S10" s="10">
        <v>11.403549999999999</v>
      </c>
      <c r="T10" s="8">
        <v>37</v>
      </c>
      <c r="U10" s="7">
        <v>43591</v>
      </c>
      <c r="V10" s="8">
        <v>9590281209</v>
      </c>
      <c r="W10" s="9" t="s">
        <v>91</v>
      </c>
      <c r="X10" s="8" t="s">
        <v>32</v>
      </c>
      <c r="Y10" s="9" t="s">
        <v>33</v>
      </c>
      <c r="Z10" s="8" t="s">
        <v>54</v>
      </c>
      <c r="AA10" s="9" t="s">
        <v>55</v>
      </c>
      <c r="AB10" s="10">
        <f t="shared" si="0"/>
        <v>0.1244152</v>
      </c>
    </row>
    <row r="11" spans="1:28" s="4" customFormat="1" ht="13" x14ac:dyDescent="0.3">
      <c r="A11" s="5">
        <v>2704</v>
      </c>
      <c r="B11" s="6" t="s">
        <v>34</v>
      </c>
      <c r="C11" s="7">
        <v>43591</v>
      </c>
      <c r="D11" s="8">
        <v>75</v>
      </c>
      <c r="E11" s="9" t="s">
        <v>56</v>
      </c>
      <c r="F11" s="8" t="s">
        <v>92</v>
      </c>
      <c r="G11" s="9" t="s">
        <v>93</v>
      </c>
      <c r="H11" s="8" t="str">
        <f>"000517"</f>
        <v>000517</v>
      </c>
      <c r="I11" s="7">
        <v>42811</v>
      </c>
      <c r="J11" s="8" t="str">
        <f>"000010"</f>
        <v>000010</v>
      </c>
      <c r="K11" s="7">
        <v>42978</v>
      </c>
      <c r="L11" s="8" t="str">
        <f>"000019"</f>
        <v>000019</v>
      </c>
      <c r="M11" s="7">
        <v>42978</v>
      </c>
      <c r="N11" s="8">
        <v>17</v>
      </c>
      <c r="O11" s="8" t="str">
        <f>"001297"</f>
        <v>001297</v>
      </c>
      <c r="P11" s="7">
        <v>43587</v>
      </c>
      <c r="Q11" s="10">
        <v>5.9376499999999997</v>
      </c>
      <c r="R11" s="10">
        <v>0.39661000000000002</v>
      </c>
      <c r="S11" s="10">
        <v>5.5410399999999997</v>
      </c>
      <c r="T11" s="8">
        <v>37</v>
      </c>
      <c r="U11" s="7">
        <v>43591</v>
      </c>
      <c r="V11" s="8">
        <v>9886223348</v>
      </c>
      <c r="W11" s="9" t="s">
        <v>94</v>
      </c>
      <c r="X11" s="8" t="s">
        <v>32</v>
      </c>
      <c r="Y11" s="9" t="s">
        <v>33</v>
      </c>
      <c r="Z11" s="8" t="s">
        <v>54</v>
      </c>
      <c r="AA11" s="9" t="s">
        <v>55</v>
      </c>
      <c r="AB11" s="10">
        <f t="shared" si="0"/>
        <v>5.9376499999999999E-2</v>
      </c>
    </row>
    <row r="12" spans="1:28" s="4" customFormat="1" ht="13" x14ac:dyDescent="0.3">
      <c r="A12" s="5">
        <v>2705</v>
      </c>
      <c r="B12" s="6" t="s">
        <v>34</v>
      </c>
      <c r="C12" s="7">
        <v>43602</v>
      </c>
      <c r="D12" s="8">
        <v>75</v>
      </c>
      <c r="E12" s="9" t="s">
        <v>56</v>
      </c>
      <c r="F12" s="8" t="s">
        <v>95</v>
      </c>
      <c r="G12" s="9" t="s">
        <v>96</v>
      </c>
      <c r="H12" s="8" t="str">
        <f>"000048"</f>
        <v>000048</v>
      </c>
      <c r="I12" s="7">
        <v>42934</v>
      </c>
      <c r="J12" s="8" t="str">
        <f>"000011"</f>
        <v>000011</v>
      </c>
      <c r="K12" s="7">
        <v>42982</v>
      </c>
      <c r="L12" s="8" t="str">
        <f>"000024"</f>
        <v>000024</v>
      </c>
      <c r="M12" s="7">
        <v>42982</v>
      </c>
      <c r="N12" s="8">
        <v>16</v>
      </c>
      <c r="O12" s="8" t="str">
        <f>"001494"</f>
        <v>001494</v>
      </c>
      <c r="P12" s="7">
        <v>43599</v>
      </c>
      <c r="Q12" s="10">
        <v>4.89316</v>
      </c>
      <c r="R12" s="10">
        <v>0.46593000000000001</v>
      </c>
      <c r="S12" s="10">
        <v>4.4272299999999998</v>
      </c>
      <c r="T12" s="8">
        <v>49</v>
      </c>
      <c r="U12" s="7">
        <v>43602</v>
      </c>
      <c r="V12" s="8">
        <v>0</v>
      </c>
      <c r="W12" s="9" t="s">
        <v>97</v>
      </c>
      <c r="X12" s="8" t="s">
        <v>32</v>
      </c>
      <c r="Y12" s="9" t="s">
        <v>33</v>
      </c>
      <c r="Z12" s="8" t="s">
        <v>54</v>
      </c>
      <c r="AA12" s="9" t="s">
        <v>55</v>
      </c>
      <c r="AB12" s="10">
        <f t="shared" si="0"/>
        <v>4.8931599999999999E-2</v>
      </c>
    </row>
    <row r="13" spans="1:28" s="4" customFormat="1" ht="13" x14ac:dyDescent="0.3">
      <c r="A13" s="5">
        <v>2706</v>
      </c>
      <c r="B13" s="6" t="s">
        <v>34</v>
      </c>
      <c r="C13" s="7">
        <v>43602</v>
      </c>
      <c r="D13" s="8">
        <v>75</v>
      </c>
      <c r="E13" s="9" t="s">
        <v>56</v>
      </c>
      <c r="F13" s="8" t="s">
        <v>98</v>
      </c>
      <c r="G13" s="9" t="s">
        <v>99</v>
      </c>
      <c r="H13" s="8" t="str">
        <f>"000422"</f>
        <v>000422</v>
      </c>
      <c r="I13" s="7">
        <v>42772</v>
      </c>
      <c r="J13" s="8" t="str">
        <f>"000020"</f>
        <v>000020</v>
      </c>
      <c r="K13" s="7">
        <v>42984</v>
      </c>
      <c r="L13" s="8" t="str">
        <f>"000037"</f>
        <v>000037</v>
      </c>
      <c r="M13" s="7">
        <v>42984</v>
      </c>
      <c r="N13" s="8">
        <v>17</v>
      </c>
      <c r="O13" s="8" t="str">
        <f>"001499"</f>
        <v>001499</v>
      </c>
      <c r="P13" s="7">
        <v>43599</v>
      </c>
      <c r="Q13" s="10">
        <v>48.236969999999999</v>
      </c>
      <c r="R13" s="10">
        <v>7.2729600000000003</v>
      </c>
      <c r="S13" s="10">
        <v>40.964010000000002</v>
      </c>
      <c r="T13" s="8">
        <v>49</v>
      </c>
      <c r="U13" s="7">
        <v>43602</v>
      </c>
      <c r="V13" s="8">
        <v>9900333496</v>
      </c>
      <c r="W13" s="9" t="s">
        <v>39</v>
      </c>
      <c r="X13" s="8" t="s">
        <v>48</v>
      </c>
      <c r="Y13" s="9" t="s">
        <v>49</v>
      </c>
      <c r="Z13" s="8" t="s">
        <v>54</v>
      </c>
      <c r="AA13" s="9" t="s">
        <v>55</v>
      </c>
      <c r="AB13" s="10">
        <f t="shared" si="0"/>
        <v>0.48236970000000001</v>
      </c>
    </row>
    <row r="14" spans="1:28" s="4" customFormat="1" ht="13" x14ac:dyDescent="0.3">
      <c r="A14" s="5">
        <v>2707</v>
      </c>
      <c r="B14" s="6" t="s">
        <v>34</v>
      </c>
      <c r="C14" s="7">
        <v>43602</v>
      </c>
      <c r="D14" s="8">
        <v>75</v>
      </c>
      <c r="E14" s="9" t="s">
        <v>56</v>
      </c>
      <c r="F14" s="8" t="s">
        <v>100</v>
      </c>
      <c r="G14" s="9" t="s">
        <v>101</v>
      </c>
      <c r="H14" s="8" t="str">
        <f>"000423"</f>
        <v>000423</v>
      </c>
      <c r="I14" s="7">
        <v>42772</v>
      </c>
      <c r="J14" s="8" t="str">
        <f>"000026"</f>
        <v>000026</v>
      </c>
      <c r="K14" s="7">
        <v>42990</v>
      </c>
      <c r="L14" s="8" t="str">
        <f>"000047"</f>
        <v>000047</v>
      </c>
      <c r="M14" s="7">
        <v>42990</v>
      </c>
      <c r="N14" s="8">
        <v>17</v>
      </c>
      <c r="O14" s="8" t="str">
        <f>"001515"</f>
        <v>001515</v>
      </c>
      <c r="P14" s="7">
        <v>43599</v>
      </c>
      <c r="Q14" s="10">
        <v>39.650919999999999</v>
      </c>
      <c r="R14" s="10">
        <v>5.8293900000000001</v>
      </c>
      <c r="S14" s="10">
        <v>33.821530000000003</v>
      </c>
      <c r="T14" s="8">
        <v>49</v>
      </c>
      <c r="U14" s="7">
        <v>43602</v>
      </c>
      <c r="V14" s="8">
        <v>9900333496</v>
      </c>
      <c r="W14" s="9" t="s">
        <v>44</v>
      </c>
      <c r="X14" s="8" t="s">
        <v>48</v>
      </c>
      <c r="Y14" s="9" t="s">
        <v>49</v>
      </c>
      <c r="Z14" s="8" t="s">
        <v>54</v>
      </c>
      <c r="AA14" s="9" t="s">
        <v>55</v>
      </c>
      <c r="AB14" s="10">
        <f t="shared" si="0"/>
        <v>0.39650920000000001</v>
      </c>
    </row>
    <row r="15" spans="1:28" s="4" customFormat="1" ht="13" x14ac:dyDescent="0.3">
      <c r="A15" s="5">
        <v>2708</v>
      </c>
      <c r="B15" s="6" t="s">
        <v>34</v>
      </c>
      <c r="C15" s="7">
        <v>43602</v>
      </c>
      <c r="D15" s="8">
        <v>75</v>
      </c>
      <c r="E15" s="9" t="s">
        <v>56</v>
      </c>
      <c r="F15" s="8" t="s">
        <v>102</v>
      </c>
      <c r="G15" s="9" t="s">
        <v>103</v>
      </c>
      <c r="H15" s="8" t="str">
        <f>"000109"</f>
        <v>000109</v>
      </c>
      <c r="I15" s="7">
        <v>42913</v>
      </c>
      <c r="J15" s="8" t="str">
        <f>"000027"</f>
        <v>000027</v>
      </c>
      <c r="K15" s="7">
        <v>42991</v>
      </c>
      <c r="L15" s="8" t="str">
        <f>"000048"</f>
        <v>000048</v>
      </c>
      <c r="M15" s="7">
        <v>42991</v>
      </c>
      <c r="N15" s="8">
        <v>17</v>
      </c>
      <c r="O15" s="8" t="str">
        <f>"001552"</f>
        <v>001552</v>
      </c>
      <c r="P15" s="7">
        <v>43599</v>
      </c>
      <c r="Q15" s="10">
        <v>9.9759499999999992</v>
      </c>
      <c r="R15" s="10">
        <v>1.37991</v>
      </c>
      <c r="S15" s="10">
        <v>8.5960400000000003</v>
      </c>
      <c r="T15" s="8">
        <v>49</v>
      </c>
      <c r="U15" s="7">
        <v>43602</v>
      </c>
      <c r="V15" s="8">
        <v>9900333496</v>
      </c>
      <c r="W15" s="9" t="s">
        <v>39</v>
      </c>
      <c r="X15" s="8" t="s">
        <v>48</v>
      </c>
      <c r="Y15" s="9" t="s">
        <v>49</v>
      </c>
      <c r="Z15" s="8" t="s">
        <v>54</v>
      </c>
      <c r="AA15" s="9" t="s">
        <v>55</v>
      </c>
      <c r="AB15" s="10">
        <f t="shared" si="0"/>
        <v>9.9759499999999987E-2</v>
      </c>
    </row>
    <row r="16" spans="1:28" s="4" customFormat="1" ht="13" x14ac:dyDescent="0.3">
      <c r="A16" s="5">
        <v>2709</v>
      </c>
      <c r="B16" s="6" t="s">
        <v>34</v>
      </c>
      <c r="C16" s="7">
        <v>43610</v>
      </c>
      <c r="D16" s="8">
        <v>75</v>
      </c>
      <c r="E16" s="9" t="s">
        <v>56</v>
      </c>
      <c r="F16" s="8" t="s">
        <v>104</v>
      </c>
      <c r="G16" s="9" t="s">
        <v>105</v>
      </c>
      <c r="H16" s="8" t="str">
        <f>"0.0027"</f>
        <v>0.0027</v>
      </c>
      <c r="I16" s="7">
        <v>42916</v>
      </c>
      <c r="J16" s="8" t="str">
        <f>"000077"</f>
        <v>000077</v>
      </c>
      <c r="K16" s="7">
        <v>43098</v>
      </c>
      <c r="L16" s="8" t="str">
        <f>"000092"</f>
        <v>000092</v>
      </c>
      <c r="M16" s="7">
        <v>43098</v>
      </c>
      <c r="N16" s="8">
        <v>17</v>
      </c>
      <c r="O16" s="8" t="str">
        <f>"002019"</f>
        <v>002019</v>
      </c>
      <c r="P16" s="7">
        <v>43608</v>
      </c>
      <c r="Q16" s="10">
        <v>19.950800000000001</v>
      </c>
      <c r="R16" s="10">
        <v>2.4635500000000001</v>
      </c>
      <c r="S16" s="10">
        <v>17.48725</v>
      </c>
      <c r="T16" s="8">
        <v>59</v>
      </c>
      <c r="U16" s="7">
        <v>43610</v>
      </c>
      <c r="V16" s="8">
        <v>9986210433</v>
      </c>
      <c r="W16" s="9" t="s">
        <v>45</v>
      </c>
      <c r="X16" s="8" t="s">
        <v>37</v>
      </c>
      <c r="Y16" s="9" t="s">
        <v>38</v>
      </c>
      <c r="Z16" s="8" t="s">
        <v>46</v>
      </c>
      <c r="AA16" s="9" t="s">
        <v>47</v>
      </c>
      <c r="AB16" s="10">
        <f t="shared" si="0"/>
        <v>0.19950800000000002</v>
      </c>
    </row>
    <row r="17" spans="1:28" s="4" customFormat="1" ht="13" x14ac:dyDescent="0.3">
      <c r="A17" s="5">
        <v>2710</v>
      </c>
      <c r="B17" s="6" t="s">
        <v>34</v>
      </c>
      <c r="C17" s="7">
        <v>43615</v>
      </c>
      <c r="D17" s="8">
        <v>75</v>
      </c>
      <c r="E17" s="9" t="s">
        <v>56</v>
      </c>
      <c r="F17" s="8" t="s">
        <v>106</v>
      </c>
      <c r="G17" s="9" t="s">
        <v>107</v>
      </c>
      <c r="H17" s="8" t="str">
        <f>"00037A"</f>
        <v>00037A</v>
      </c>
      <c r="I17" s="7">
        <v>42780</v>
      </c>
      <c r="J17" s="8" t="str">
        <f>"000004"</f>
        <v>000004</v>
      </c>
      <c r="K17" s="7">
        <v>42968</v>
      </c>
      <c r="L17" s="8" t="str">
        <f>"000016"</f>
        <v>000016</v>
      </c>
      <c r="M17" s="7">
        <v>42968</v>
      </c>
      <c r="N17" s="8">
        <v>17</v>
      </c>
      <c r="O17" s="8" t="str">
        <f>"002198"</f>
        <v>002198</v>
      </c>
      <c r="P17" s="7">
        <v>43613</v>
      </c>
      <c r="Q17" s="10">
        <v>14.833</v>
      </c>
      <c r="R17" s="10">
        <v>1.8594999999999999</v>
      </c>
      <c r="S17" s="10">
        <v>12.9735</v>
      </c>
      <c r="T17" s="8">
        <v>65</v>
      </c>
      <c r="U17" s="7">
        <v>43615</v>
      </c>
      <c r="V17" s="8">
        <v>9448652364</v>
      </c>
      <c r="W17" s="9" t="s">
        <v>108</v>
      </c>
      <c r="X17" s="8" t="s">
        <v>40</v>
      </c>
      <c r="Y17" s="9" t="s">
        <v>41</v>
      </c>
      <c r="Z17" s="8" t="s">
        <v>50</v>
      </c>
      <c r="AA17" s="9" t="s">
        <v>51</v>
      </c>
      <c r="AB17" s="10">
        <f t="shared" si="0"/>
        <v>0.14832999999999999</v>
      </c>
    </row>
    <row r="18" spans="1:28" s="4" customFormat="1" ht="13" x14ac:dyDescent="0.3">
      <c r="A18" s="5">
        <v>2711</v>
      </c>
      <c r="B18" s="6" t="s">
        <v>31</v>
      </c>
      <c r="C18" s="7">
        <v>43628</v>
      </c>
      <c r="D18" s="8">
        <v>75</v>
      </c>
      <c r="E18" s="9" t="s">
        <v>56</v>
      </c>
      <c r="F18" s="8" t="s">
        <v>68</v>
      </c>
      <c r="G18" s="9" t="s">
        <v>69</v>
      </c>
      <c r="H18" s="8" t="str">
        <f>"000468"</f>
        <v>000468</v>
      </c>
      <c r="I18" s="7">
        <v>42803</v>
      </c>
      <c r="J18" s="8" t="str">
        <f>"000058"</f>
        <v>000058</v>
      </c>
      <c r="K18" s="7">
        <v>43085</v>
      </c>
      <c r="L18" s="8" t="str">
        <f>"000138"</f>
        <v>000138</v>
      </c>
      <c r="M18" s="7">
        <v>43085</v>
      </c>
      <c r="N18" s="8">
        <v>17</v>
      </c>
      <c r="O18" s="8" t="str">
        <f>"002571"</f>
        <v>002571</v>
      </c>
      <c r="P18" s="7">
        <v>43627</v>
      </c>
      <c r="Q18" s="10">
        <v>13.22322</v>
      </c>
      <c r="R18" s="10">
        <v>0.94699</v>
      </c>
      <c r="S18" s="10">
        <v>12.27623</v>
      </c>
      <c r="T18" s="8">
        <v>76</v>
      </c>
      <c r="U18" s="7">
        <v>43628</v>
      </c>
      <c r="V18" s="8">
        <v>9845641836</v>
      </c>
      <c r="W18" s="9" t="s">
        <v>70</v>
      </c>
      <c r="X18" s="8" t="s">
        <v>32</v>
      </c>
      <c r="Y18" s="9" t="s">
        <v>33</v>
      </c>
      <c r="Z18" s="8" t="s">
        <v>54</v>
      </c>
      <c r="AA18" s="9" t="s">
        <v>55</v>
      </c>
      <c r="AB18" s="10">
        <v>0.13223219999999999</v>
      </c>
    </row>
    <row r="19" spans="1:28" s="4" customFormat="1" ht="13" x14ac:dyDescent="0.3">
      <c r="A19" s="5">
        <v>2712</v>
      </c>
      <c r="B19" s="6" t="s">
        <v>31</v>
      </c>
      <c r="C19" s="7">
        <v>43628</v>
      </c>
      <c r="D19" s="8">
        <v>75</v>
      </c>
      <c r="E19" s="9" t="s">
        <v>56</v>
      </c>
      <c r="F19" s="8" t="s">
        <v>71</v>
      </c>
      <c r="G19" s="9" t="s">
        <v>72</v>
      </c>
      <c r="H19" s="8" t="str">
        <f>"000124"</f>
        <v>000124</v>
      </c>
      <c r="I19" s="7">
        <v>42915</v>
      </c>
      <c r="J19" s="8" t="str">
        <f>"000059"</f>
        <v>000059</v>
      </c>
      <c r="K19" s="7">
        <v>43085</v>
      </c>
      <c r="L19" s="8" t="str">
        <f>"000139"</f>
        <v>000139</v>
      </c>
      <c r="M19" s="7">
        <v>43085</v>
      </c>
      <c r="N19" s="8">
        <v>16</v>
      </c>
      <c r="O19" s="8" t="str">
        <f>"002572"</f>
        <v>002572</v>
      </c>
      <c r="P19" s="7">
        <v>43627</v>
      </c>
      <c r="Q19" s="10">
        <v>19.067</v>
      </c>
      <c r="R19" s="10">
        <v>2.8006799999999998</v>
      </c>
      <c r="S19" s="10">
        <v>16.26632</v>
      </c>
      <c r="T19" s="8">
        <v>76</v>
      </c>
      <c r="U19" s="7">
        <v>43628</v>
      </c>
      <c r="V19" s="8">
        <v>9900333496</v>
      </c>
      <c r="W19" s="9" t="s">
        <v>39</v>
      </c>
      <c r="X19" s="8" t="s">
        <v>40</v>
      </c>
      <c r="Y19" s="9" t="s">
        <v>41</v>
      </c>
      <c r="Z19" s="8" t="s">
        <v>54</v>
      </c>
      <c r="AA19" s="9" t="s">
        <v>55</v>
      </c>
      <c r="AB19" s="10">
        <v>0.19067000000000001</v>
      </c>
    </row>
    <row r="20" spans="1:28" s="4" customFormat="1" ht="13" x14ac:dyDescent="0.3">
      <c r="A20" s="5">
        <v>2713</v>
      </c>
      <c r="B20" s="6" t="s">
        <v>31</v>
      </c>
      <c r="C20" s="7">
        <v>43629</v>
      </c>
      <c r="D20" s="8">
        <v>75</v>
      </c>
      <c r="E20" s="9" t="s">
        <v>56</v>
      </c>
      <c r="F20" s="8" t="s">
        <v>73</v>
      </c>
      <c r="G20" s="9" t="s">
        <v>74</v>
      </c>
      <c r="H20" s="8" t="str">
        <f>"000439"</f>
        <v>000439</v>
      </c>
      <c r="I20" s="7">
        <v>43542</v>
      </c>
      <c r="J20" s="8" t="str">
        <f>"000020"</f>
        <v>000020</v>
      </c>
      <c r="K20" s="7">
        <v>43600</v>
      </c>
      <c r="L20" s="8" t="str">
        <f>"000062"</f>
        <v>000062</v>
      </c>
      <c r="M20" s="7">
        <v>43601</v>
      </c>
      <c r="N20" s="8">
        <v>19</v>
      </c>
      <c r="O20" s="8" t="str">
        <f>"002534"</f>
        <v>002534</v>
      </c>
      <c r="P20" s="7">
        <v>43623</v>
      </c>
      <c r="Q20" s="10">
        <v>19.355599999999999</v>
      </c>
      <c r="R20" s="10">
        <v>2.4197799999999998</v>
      </c>
      <c r="S20" s="10">
        <v>16.93582</v>
      </c>
      <c r="T20" s="8">
        <v>81</v>
      </c>
      <c r="U20" s="7">
        <v>43629</v>
      </c>
      <c r="V20" s="8">
        <v>9900333496</v>
      </c>
      <c r="W20" s="9" t="s">
        <v>39</v>
      </c>
      <c r="X20" s="8" t="s">
        <v>35</v>
      </c>
      <c r="Y20" s="9" t="s">
        <v>36</v>
      </c>
      <c r="Z20" s="8" t="s">
        <v>54</v>
      </c>
      <c r="AA20" s="9" t="s">
        <v>55</v>
      </c>
      <c r="AB20" s="10">
        <v>0.19355599999999998</v>
      </c>
    </row>
    <row r="21" spans="1:28" s="4" customFormat="1" ht="13" x14ac:dyDescent="0.3">
      <c r="A21" s="5">
        <v>2714</v>
      </c>
      <c r="B21" s="6" t="s">
        <v>31</v>
      </c>
      <c r="C21" s="7">
        <v>43636</v>
      </c>
      <c r="D21" s="8">
        <v>75</v>
      </c>
      <c r="E21" s="9" t="s">
        <v>56</v>
      </c>
      <c r="F21" s="8" t="s">
        <v>75</v>
      </c>
      <c r="G21" s="9" t="s">
        <v>76</v>
      </c>
      <c r="H21" s="8" t="str">
        <f>"000419"</f>
        <v>000419</v>
      </c>
      <c r="I21" s="7">
        <v>42772</v>
      </c>
      <c r="J21" s="8" t="str">
        <f>"000036"</f>
        <v>000036</v>
      </c>
      <c r="K21" s="7">
        <v>43015</v>
      </c>
      <c r="L21" s="8" t="str">
        <f>"000075"</f>
        <v>000075</v>
      </c>
      <c r="M21" s="7">
        <v>43017</v>
      </c>
      <c r="N21" s="8">
        <v>17</v>
      </c>
      <c r="O21" s="8" t="str">
        <f>"002789"</f>
        <v>002789</v>
      </c>
      <c r="P21" s="7">
        <v>43633</v>
      </c>
      <c r="Q21" s="10">
        <v>48.131100000000004</v>
      </c>
      <c r="R21" s="10">
        <v>7.03559</v>
      </c>
      <c r="S21" s="10">
        <v>41.095509999999997</v>
      </c>
      <c r="T21" s="8">
        <v>89</v>
      </c>
      <c r="U21" s="7">
        <v>43636</v>
      </c>
      <c r="V21" s="8">
        <v>9900333496</v>
      </c>
      <c r="W21" s="9" t="s">
        <v>39</v>
      </c>
      <c r="X21" s="8" t="s">
        <v>48</v>
      </c>
      <c r="Y21" s="9" t="s">
        <v>49</v>
      </c>
      <c r="Z21" s="8" t="s">
        <v>54</v>
      </c>
      <c r="AA21" s="9" t="s">
        <v>55</v>
      </c>
      <c r="AB21" s="10">
        <v>0.48131100000000004</v>
      </c>
    </row>
    <row r="22" spans="1:28" s="4" customFormat="1" ht="13" x14ac:dyDescent="0.3">
      <c r="A22" s="5">
        <v>2715</v>
      </c>
      <c r="B22" s="6" t="s">
        <v>31</v>
      </c>
      <c r="C22" s="7">
        <v>43641</v>
      </c>
      <c r="D22" s="8">
        <v>75</v>
      </c>
      <c r="E22" s="9" t="s">
        <v>56</v>
      </c>
      <c r="F22" s="8" t="s">
        <v>77</v>
      </c>
      <c r="G22" s="9" t="s">
        <v>78</v>
      </c>
      <c r="H22" s="8" t="str">
        <f>"000082"</f>
        <v>000082</v>
      </c>
      <c r="I22" s="7">
        <v>43318</v>
      </c>
      <c r="J22" s="8" t="str">
        <f>"000013"</f>
        <v>000013</v>
      </c>
      <c r="K22" s="7">
        <v>43595</v>
      </c>
      <c r="L22" s="8" t="str">
        <f>"000048"</f>
        <v>000048</v>
      </c>
      <c r="M22" s="7">
        <v>43598</v>
      </c>
      <c r="N22" s="8">
        <v>18</v>
      </c>
      <c r="O22" s="8" t="str">
        <f>"002829"</f>
        <v>002829</v>
      </c>
      <c r="P22" s="7">
        <v>43635</v>
      </c>
      <c r="Q22" s="10">
        <v>4.8277700000000001</v>
      </c>
      <c r="R22" s="10">
        <v>0.50287000000000004</v>
      </c>
      <c r="S22" s="10">
        <v>4.3249000000000004</v>
      </c>
      <c r="T22" s="8">
        <v>93</v>
      </c>
      <c r="U22" s="7">
        <v>43641</v>
      </c>
      <c r="V22" s="8">
        <v>9900333496</v>
      </c>
      <c r="W22" s="9" t="s">
        <v>39</v>
      </c>
      <c r="X22" s="8" t="s">
        <v>52</v>
      </c>
      <c r="Y22" s="9" t="s">
        <v>53</v>
      </c>
      <c r="Z22" s="8" t="s">
        <v>54</v>
      </c>
      <c r="AA22" s="9" t="s">
        <v>55</v>
      </c>
      <c r="AB22" s="10">
        <v>4.82777E-2</v>
      </c>
    </row>
    <row r="23" spans="1:28" s="4" customFormat="1" ht="13" x14ac:dyDescent="0.3">
      <c r="A23" s="5">
        <v>2716</v>
      </c>
      <c r="B23" s="6" t="s">
        <v>31</v>
      </c>
      <c r="C23" s="7">
        <v>43644</v>
      </c>
      <c r="D23" s="8">
        <v>75</v>
      </c>
      <c r="E23" s="9" t="s">
        <v>56</v>
      </c>
      <c r="F23" s="8" t="s">
        <v>79</v>
      </c>
      <c r="G23" s="9" t="s">
        <v>80</v>
      </c>
      <c r="H23" s="8" t="str">
        <f>"000397"</f>
        <v>000397</v>
      </c>
      <c r="I23" s="7">
        <v>43538</v>
      </c>
      <c r="J23" s="8" t="str">
        <f>"000011"</f>
        <v>000011</v>
      </c>
      <c r="K23" s="7">
        <v>43591</v>
      </c>
      <c r="L23" s="8" t="str">
        <f>"000033"</f>
        <v>000033</v>
      </c>
      <c r="M23" s="7">
        <v>43593</v>
      </c>
      <c r="N23" s="8">
        <v>19</v>
      </c>
      <c r="O23" s="8" t="str">
        <f>"002866"</f>
        <v>002866</v>
      </c>
      <c r="P23" s="7">
        <v>43636</v>
      </c>
      <c r="Q23" s="10">
        <v>97.768450000000001</v>
      </c>
      <c r="R23" s="10">
        <v>12.87787</v>
      </c>
      <c r="S23" s="10">
        <v>84.89058</v>
      </c>
      <c r="T23" s="8">
        <v>95</v>
      </c>
      <c r="U23" s="7">
        <v>43644</v>
      </c>
      <c r="V23" s="8">
        <v>9900333496</v>
      </c>
      <c r="W23" s="9" t="s">
        <v>39</v>
      </c>
      <c r="X23" s="8" t="s">
        <v>35</v>
      </c>
      <c r="Y23" s="9" t="s">
        <v>36</v>
      </c>
      <c r="Z23" s="8" t="s">
        <v>54</v>
      </c>
      <c r="AA23" s="9" t="s">
        <v>55</v>
      </c>
      <c r="AB23" s="10">
        <v>0.97768450000000007</v>
      </c>
    </row>
    <row r="24" spans="1:28" s="4" customFormat="1" ht="13" x14ac:dyDescent="0.3">
      <c r="A24" s="5">
        <v>2717</v>
      </c>
      <c r="B24" s="6" t="s">
        <v>31</v>
      </c>
      <c r="C24" s="7">
        <v>43644</v>
      </c>
      <c r="D24" s="8">
        <v>75</v>
      </c>
      <c r="E24" s="9" t="s">
        <v>56</v>
      </c>
      <c r="F24" s="8" t="s">
        <v>81</v>
      </c>
      <c r="G24" s="9" t="s">
        <v>82</v>
      </c>
      <c r="H24" s="8" t="str">
        <f>"000440"</f>
        <v>000440</v>
      </c>
      <c r="I24" s="7">
        <v>43542</v>
      </c>
      <c r="J24" s="8" t="str">
        <f>"000021"</f>
        <v>000021</v>
      </c>
      <c r="K24" s="7">
        <v>43600</v>
      </c>
      <c r="L24" s="8" t="str">
        <f>"000063"</f>
        <v>000063</v>
      </c>
      <c r="M24" s="7">
        <v>43601</v>
      </c>
      <c r="N24" s="8">
        <v>19</v>
      </c>
      <c r="O24" s="8" t="str">
        <f>"002868"</f>
        <v>002868</v>
      </c>
      <c r="P24" s="7">
        <v>43636</v>
      </c>
      <c r="Q24" s="10">
        <v>48.856310000000001</v>
      </c>
      <c r="R24" s="10">
        <v>6.1846500000000004</v>
      </c>
      <c r="S24" s="10">
        <v>42.671660000000003</v>
      </c>
      <c r="T24" s="8">
        <v>95</v>
      </c>
      <c r="U24" s="7">
        <v>43644</v>
      </c>
      <c r="V24" s="8">
        <v>9900333496</v>
      </c>
      <c r="W24" s="9" t="s">
        <v>39</v>
      </c>
      <c r="X24" s="8" t="s">
        <v>35</v>
      </c>
      <c r="Y24" s="9" t="s">
        <v>36</v>
      </c>
      <c r="Z24" s="8" t="s">
        <v>54</v>
      </c>
      <c r="AA24" s="9" t="s">
        <v>55</v>
      </c>
      <c r="AB24" s="10">
        <v>0.48856310000000003</v>
      </c>
    </row>
    <row r="25" spans="1:28" s="4" customFormat="1" ht="13" x14ac:dyDescent="0.3">
      <c r="A25" s="5">
        <v>2718</v>
      </c>
      <c r="B25" s="6" t="s">
        <v>109</v>
      </c>
      <c r="C25" s="7">
        <v>43663</v>
      </c>
      <c r="D25" s="8">
        <v>75</v>
      </c>
      <c r="E25" s="9" t="s">
        <v>56</v>
      </c>
      <c r="F25" s="8" t="s">
        <v>110</v>
      </c>
      <c r="G25" s="11" t="s">
        <v>111</v>
      </c>
      <c r="H25" s="8" t="str">
        <f>"000302"</f>
        <v>000302</v>
      </c>
      <c r="I25" s="7">
        <v>43159</v>
      </c>
      <c r="J25" s="8" t="str">
        <f>"000139"</f>
        <v>000139</v>
      </c>
      <c r="K25" s="7">
        <v>43186</v>
      </c>
      <c r="L25" s="8" t="str">
        <f>"000307"</f>
        <v>000307</v>
      </c>
      <c r="M25" s="7">
        <v>43187</v>
      </c>
      <c r="N25" s="8">
        <v>18</v>
      </c>
      <c r="O25" s="8" t="str">
        <f>"003447"</f>
        <v>003447</v>
      </c>
      <c r="P25" s="7">
        <v>43662</v>
      </c>
      <c r="Q25" s="12">
        <v>9.5897199999999998</v>
      </c>
      <c r="R25" s="12">
        <v>1.0704499999999999</v>
      </c>
      <c r="S25" s="12">
        <v>8.5192700000000006</v>
      </c>
      <c r="T25" s="8">
        <v>113</v>
      </c>
      <c r="U25" s="7">
        <v>43663</v>
      </c>
      <c r="V25" s="8">
        <v>9900333496</v>
      </c>
      <c r="W25" s="11" t="s">
        <v>39</v>
      </c>
      <c r="X25" s="8" t="s">
        <v>112</v>
      </c>
      <c r="Y25" s="11" t="s">
        <v>113</v>
      </c>
      <c r="Z25" s="8" t="s">
        <v>54</v>
      </c>
      <c r="AA25" s="11" t="s">
        <v>55</v>
      </c>
      <c r="AB25" s="12">
        <f t="shared" ref="AB25:AB45" si="1">Q25/100</f>
        <v>9.5897200000000002E-2</v>
      </c>
    </row>
    <row r="26" spans="1:28" s="4" customFormat="1" ht="13" x14ac:dyDescent="0.3">
      <c r="A26" s="5">
        <v>2719</v>
      </c>
      <c r="B26" s="6" t="s">
        <v>109</v>
      </c>
      <c r="C26" s="7">
        <v>43663</v>
      </c>
      <c r="D26" s="8">
        <v>75</v>
      </c>
      <c r="E26" s="9" t="s">
        <v>56</v>
      </c>
      <c r="F26" s="8" t="s">
        <v>114</v>
      </c>
      <c r="G26" s="11" t="s">
        <v>115</v>
      </c>
      <c r="H26" s="8" t="str">
        <f>"000233"</f>
        <v>000233</v>
      </c>
      <c r="I26" s="7">
        <v>43154</v>
      </c>
      <c r="J26" s="8" t="str">
        <f>"000140"</f>
        <v>000140</v>
      </c>
      <c r="K26" s="7">
        <v>43186</v>
      </c>
      <c r="L26" s="8" t="str">
        <f>"000308"</f>
        <v>000308</v>
      </c>
      <c r="M26" s="7">
        <v>43187</v>
      </c>
      <c r="N26" s="8">
        <v>18</v>
      </c>
      <c r="O26" s="8" t="str">
        <f>"003448"</f>
        <v>003448</v>
      </c>
      <c r="P26" s="7">
        <v>43662</v>
      </c>
      <c r="Q26" s="12">
        <v>19.869039999999998</v>
      </c>
      <c r="R26" s="12">
        <v>2.27881</v>
      </c>
      <c r="S26" s="12">
        <v>17.590229999999998</v>
      </c>
      <c r="T26" s="8">
        <v>113</v>
      </c>
      <c r="U26" s="7">
        <v>43663</v>
      </c>
      <c r="V26" s="8">
        <v>9900333496</v>
      </c>
      <c r="W26" s="11" t="s">
        <v>39</v>
      </c>
      <c r="X26" s="8" t="s">
        <v>116</v>
      </c>
      <c r="Y26" s="11" t="s">
        <v>117</v>
      </c>
      <c r="Z26" s="8" t="s">
        <v>54</v>
      </c>
      <c r="AA26" s="11" t="s">
        <v>55</v>
      </c>
      <c r="AB26" s="12">
        <f t="shared" si="1"/>
        <v>0.19869039999999999</v>
      </c>
    </row>
    <row r="27" spans="1:28" s="4" customFormat="1" ht="13" x14ac:dyDescent="0.3">
      <c r="A27" s="5">
        <v>2720</v>
      </c>
      <c r="B27" s="6" t="s">
        <v>109</v>
      </c>
      <c r="C27" s="7">
        <v>43665</v>
      </c>
      <c r="D27" s="8">
        <v>75</v>
      </c>
      <c r="E27" s="9" t="s">
        <v>56</v>
      </c>
      <c r="F27" s="8" t="s">
        <v>118</v>
      </c>
      <c r="G27" s="11" t="s">
        <v>119</v>
      </c>
      <c r="H27" s="8" t="str">
        <f>"000438"</f>
        <v>000438</v>
      </c>
      <c r="I27" s="7">
        <v>43542</v>
      </c>
      <c r="J27" s="8" t="str">
        <f>"000022"</f>
        <v>000022</v>
      </c>
      <c r="K27" s="7">
        <v>43600</v>
      </c>
      <c r="L27" s="8" t="str">
        <f>"000066"</f>
        <v>000066</v>
      </c>
      <c r="M27" s="7">
        <v>43602</v>
      </c>
      <c r="N27" s="8">
        <v>19</v>
      </c>
      <c r="O27" s="8" t="str">
        <f>"003519"</f>
        <v>003519</v>
      </c>
      <c r="P27" s="7">
        <v>43663</v>
      </c>
      <c r="Q27" s="12">
        <v>27.821059999999999</v>
      </c>
      <c r="R27" s="12">
        <v>3.54962</v>
      </c>
      <c r="S27" s="12">
        <v>24.271439999999998</v>
      </c>
      <c r="T27" s="8">
        <v>117</v>
      </c>
      <c r="U27" s="7">
        <v>43665</v>
      </c>
      <c r="V27" s="8">
        <v>9900333496</v>
      </c>
      <c r="W27" s="11" t="s">
        <v>39</v>
      </c>
      <c r="X27" s="8" t="s">
        <v>120</v>
      </c>
      <c r="Y27" s="11" t="s">
        <v>121</v>
      </c>
      <c r="Z27" s="8" t="s">
        <v>54</v>
      </c>
      <c r="AA27" s="11" t="s">
        <v>55</v>
      </c>
      <c r="AB27" s="12">
        <f t="shared" si="1"/>
        <v>0.27821059999999997</v>
      </c>
    </row>
    <row r="28" spans="1:28" s="4" customFormat="1" ht="13" x14ac:dyDescent="0.3">
      <c r="A28" s="5">
        <v>2721</v>
      </c>
      <c r="B28" s="6" t="s">
        <v>109</v>
      </c>
      <c r="C28" s="7">
        <v>43668</v>
      </c>
      <c r="D28" s="8">
        <v>75</v>
      </c>
      <c r="E28" s="9" t="s">
        <v>56</v>
      </c>
      <c r="F28" s="8" t="s">
        <v>122</v>
      </c>
      <c r="G28" s="11" t="s">
        <v>123</v>
      </c>
      <c r="H28" s="8" t="str">
        <f>"333333"</f>
        <v>333333</v>
      </c>
      <c r="I28" s="7">
        <v>42763</v>
      </c>
      <c r="J28" s="8" t="str">
        <f>"000055"</f>
        <v>000055</v>
      </c>
      <c r="K28" s="7">
        <v>43635</v>
      </c>
      <c r="L28" s="8" t="str">
        <f>"000135"</f>
        <v>000135</v>
      </c>
      <c r="M28" s="7">
        <v>43636</v>
      </c>
      <c r="N28" s="8">
        <v>16</v>
      </c>
      <c r="O28" s="8" t="str">
        <f>"003620"</f>
        <v>003620</v>
      </c>
      <c r="P28" s="7">
        <v>43664</v>
      </c>
      <c r="Q28" s="12">
        <v>17.223269999999999</v>
      </c>
      <c r="R28" s="12">
        <v>0.86724000000000001</v>
      </c>
      <c r="S28" s="12">
        <v>16.356030000000001</v>
      </c>
      <c r="T28" s="8">
        <v>120</v>
      </c>
      <c r="U28" s="7">
        <v>43668</v>
      </c>
      <c r="V28" s="8">
        <v>0</v>
      </c>
      <c r="W28" s="11" t="s">
        <v>124</v>
      </c>
      <c r="X28" s="8" t="s">
        <v>125</v>
      </c>
      <c r="Y28" s="11" t="s">
        <v>126</v>
      </c>
      <c r="Z28" s="8" t="s">
        <v>54</v>
      </c>
      <c r="AA28" s="11" t="s">
        <v>55</v>
      </c>
      <c r="AB28" s="12">
        <f t="shared" si="1"/>
        <v>0.17223269999999999</v>
      </c>
    </row>
    <row r="29" spans="1:28" s="4" customFormat="1" ht="13" x14ac:dyDescent="0.3">
      <c r="A29" s="5">
        <v>2722</v>
      </c>
      <c r="B29" s="6" t="s">
        <v>109</v>
      </c>
      <c r="C29" s="7">
        <v>43668</v>
      </c>
      <c r="D29" s="8">
        <v>75</v>
      </c>
      <c r="E29" s="9" t="s">
        <v>56</v>
      </c>
      <c r="F29" s="8" t="s">
        <v>127</v>
      </c>
      <c r="G29" s="11" t="s">
        <v>128</v>
      </c>
      <c r="H29" s="8" t="str">
        <f>"222222"</f>
        <v>222222</v>
      </c>
      <c r="I29" s="7">
        <v>42763</v>
      </c>
      <c r="J29" s="8" t="str">
        <f>"000056"</f>
        <v>000056</v>
      </c>
      <c r="K29" s="7">
        <v>43635</v>
      </c>
      <c r="L29" s="8" t="str">
        <f>"000136"</f>
        <v>000136</v>
      </c>
      <c r="M29" s="7">
        <v>43636</v>
      </c>
      <c r="N29" s="8">
        <v>16</v>
      </c>
      <c r="O29" s="8" t="str">
        <f>"003621"</f>
        <v>003621</v>
      </c>
      <c r="P29" s="7">
        <v>43664</v>
      </c>
      <c r="Q29" s="12">
        <v>19.370259999999998</v>
      </c>
      <c r="R29" s="12">
        <v>0.88227</v>
      </c>
      <c r="S29" s="12">
        <v>18.48799</v>
      </c>
      <c r="T29" s="8">
        <v>120</v>
      </c>
      <c r="U29" s="7">
        <v>43668</v>
      </c>
      <c r="V29" s="8">
        <v>0</v>
      </c>
      <c r="W29" s="11" t="s">
        <v>124</v>
      </c>
      <c r="X29" s="8" t="s">
        <v>125</v>
      </c>
      <c r="Y29" s="11" t="s">
        <v>126</v>
      </c>
      <c r="Z29" s="8" t="s">
        <v>54</v>
      </c>
      <c r="AA29" s="11" t="s">
        <v>55</v>
      </c>
      <c r="AB29" s="12">
        <f t="shared" si="1"/>
        <v>0.19370259999999997</v>
      </c>
    </row>
    <row r="30" spans="1:28" s="4" customFormat="1" ht="13" x14ac:dyDescent="0.3">
      <c r="A30" s="5">
        <v>2723</v>
      </c>
      <c r="B30" s="6" t="s">
        <v>109</v>
      </c>
      <c r="C30" s="7">
        <v>43668</v>
      </c>
      <c r="D30" s="8">
        <v>75</v>
      </c>
      <c r="E30" s="9" t="s">
        <v>56</v>
      </c>
      <c r="F30" s="8" t="s">
        <v>129</v>
      </c>
      <c r="G30" s="11" t="s">
        <v>130</v>
      </c>
      <c r="H30" s="8" t="str">
        <f>"000085"</f>
        <v>000085</v>
      </c>
      <c r="I30" s="7">
        <v>41534</v>
      </c>
      <c r="J30" s="8" t="str">
        <f>"000227"</f>
        <v>000227</v>
      </c>
      <c r="K30" s="7">
        <v>42360</v>
      </c>
      <c r="L30" s="8" t="str">
        <f>"000795"</f>
        <v>000795</v>
      </c>
      <c r="M30" s="7">
        <v>42422</v>
      </c>
      <c r="N30" s="8">
        <v>13</v>
      </c>
      <c r="O30" s="8" t="str">
        <f>"003660"</f>
        <v>003660</v>
      </c>
      <c r="P30" s="7">
        <v>43664</v>
      </c>
      <c r="Q30" s="12">
        <v>9.8992699999999996</v>
      </c>
      <c r="R30" s="12">
        <v>1.37374</v>
      </c>
      <c r="S30" s="12">
        <v>8.5255299999999998</v>
      </c>
      <c r="T30" s="8">
        <v>121</v>
      </c>
      <c r="U30" s="7">
        <v>43668</v>
      </c>
      <c r="V30" s="8">
        <v>0</v>
      </c>
      <c r="W30" s="11" t="s">
        <v>131</v>
      </c>
      <c r="X30" s="8" t="s">
        <v>32</v>
      </c>
      <c r="Y30" s="11" t="s">
        <v>33</v>
      </c>
      <c r="Z30" s="8" t="s">
        <v>54</v>
      </c>
      <c r="AA30" s="11" t="s">
        <v>55</v>
      </c>
      <c r="AB30" s="12">
        <f t="shared" si="1"/>
        <v>9.8992699999999989E-2</v>
      </c>
    </row>
    <row r="31" spans="1:28" s="4" customFormat="1" ht="13" x14ac:dyDescent="0.3">
      <c r="A31" s="5">
        <v>2724</v>
      </c>
      <c r="B31" s="6" t="s">
        <v>109</v>
      </c>
      <c r="C31" s="7">
        <v>43668</v>
      </c>
      <c r="D31" s="8">
        <v>75</v>
      </c>
      <c r="E31" s="9" t="s">
        <v>56</v>
      </c>
      <c r="F31" s="8" t="s">
        <v>132</v>
      </c>
      <c r="G31" s="11" t="s">
        <v>133</v>
      </c>
      <c r="H31" s="8" t="str">
        <f>"000007"</f>
        <v>000007</v>
      </c>
      <c r="I31" s="7">
        <v>41766</v>
      </c>
      <c r="J31" s="8" t="str">
        <f>"000212"</f>
        <v>000212</v>
      </c>
      <c r="K31" s="7">
        <v>42333</v>
      </c>
      <c r="L31" s="8" t="str">
        <f>"000711"</f>
        <v>000711</v>
      </c>
      <c r="M31" s="7">
        <v>42369</v>
      </c>
      <c r="N31" s="8">
        <v>14</v>
      </c>
      <c r="O31" s="8" t="str">
        <f>"003662"</f>
        <v>003662</v>
      </c>
      <c r="P31" s="7">
        <v>43664</v>
      </c>
      <c r="Q31" s="12">
        <v>10</v>
      </c>
      <c r="R31" s="12">
        <v>1.43401</v>
      </c>
      <c r="S31" s="12">
        <v>8.5659899999999993</v>
      </c>
      <c r="T31" s="8">
        <v>121</v>
      </c>
      <c r="U31" s="7">
        <v>43668</v>
      </c>
      <c r="V31" s="8">
        <v>9900333496</v>
      </c>
      <c r="W31" s="11" t="s">
        <v>39</v>
      </c>
      <c r="X31" s="8" t="s">
        <v>32</v>
      </c>
      <c r="Y31" s="11" t="s">
        <v>33</v>
      </c>
      <c r="Z31" s="8" t="s">
        <v>54</v>
      </c>
      <c r="AA31" s="11" t="s">
        <v>55</v>
      </c>
      <c r="AB31" s="12">
        <f t="shared" si="1"/>
        <v>0.1</v>
      </c>
    </row>
    <row r="32" spans="1:28" s="4" customFormat="1" ht="13" x14ac:dyDescent="0.3">
      <c r="A32" s="5">
        <v>2725</v>
      </c>
      <c r="B32" s="6" t="s">
        <v>109</v>
      </c>
      <c r="C32" s="7">
        <v>43677</v>
      </c>
      <c r="D32" s="8">
        <v>75</v>
      </c>
      <c r="E32" s="9" t="s">
        <v>56</v>
      </c>
      <c r="F32" s="8" t="s">
        <v>134</v>
      </c>
      <c r="G32" s="11" t="s">
        <v>135</v>
      </c>
      <c r="H32" s="8" t="str">
        <f>"000067"</f>
        <v>000067</v>
      </c>
      <c r="I32" s="7">
        <v>42937</v>
      </c>
      <c r="J32" s="8" t="str">
        <f>"000093"</f>
        <v>000093</v>
      </c>
      <c r="K32" s="7">
        <v>43152</v>
      </c>
      <c r="L32" s="8" t="str">
        <f>"000218"</f>
        <v>000218</v>
      </c>
      <c r="M32" s="7">
        <v>43152</v>
      </c>
      <c r="N32" s="8">
        <v>17</v>
      </c>
      <c r="O32" s="8" t="str">
        <f>"003965"</f>
        <v>003965</v>
      </c>
      <c r="P32" s="7">
        <v>43670</v>
      </c>
      <c r="Q32" s="12">
        <v>39.708350000000003</v>
      </c>
      <c r="R32" s="12">
        <v>5.2312500000000002</v>
      </c>
      <c r="S32" s="12">
        <v>34.4771</v>
      </c>
      <c r="T32" s="8">
        <v>135</v>
      </c>
      <c r="U32" s="7">
        <v>43677</v>
      </c>
      <c r="V32" s="8">
        <v>9900333496</v>
      </c>
      <c r="W32" s="11" t="s">
        <v>39</v>
      </c>
      <c r="X32" s="8" t="s">
        <v>48</v>
      </c>
      <c r="Y32" s="11" t="s">
        <v>49</v>
      </c>
      <c r="Z32" s="8" t="s">
        <v>54</v>
      </c>
      <c r="AA32" s="11" t="s">
        <v>55</v>
      </c>
      <c r="AB32" s="12">
        <f t="shared" si="1"/>
        <v>0.39708350000000003</v>
      </c>
    </row>
    <row r="33" spans="1:28" s="4" customFormat="1" ht="13" x14ac:dyDescent="0.3">
      <c r="A33" s="5">
        <v>2726</v>
      </c>
      <c r="B33" s="6" t="s">
        <v>109</v>
      </c>
      <c r="C33" s="7">
        <v>43677</v>
      </c>
      <c r="D33" s="8">
        <v>75</v>
      </c>
      <c r="E33" s="9" t="s">
        <v>56</v>
      </c>
      <c r="F33" s="8" t="s">
        <v>136</v>
      </c>
      <c r="G33" s="11" t="s">
        <v>137</v>
      </c>
      <c r="H33" s="8" t="str">
        <f>"000479"</f>
        <v>000479</v>
      </c>
      <c r="I33" s="7">
        <v>42803</v>
      </c>
      <c r="J33" s="8" t="str">
        <f>"000083"</f>
        <v>000083</v>
      </c>
      <c r="K33" s="7">
        <v>43299</v>
      </c>
      <c r="L33" s="8" t="str">
        <f>"000177"</f>
        <v>000177</v>
      </c>
      <c r="M33" s="7">
        <v>43299</v>
      </c>
      <c r="N33" s="8">
        <v>17</v>
      </c>
      <c r="O33" s="8" t="str">
        <f>"004084"</f>
        <v>004084</v>
      </c>
      <c r="P33" s="7">
        <v>43672</v>
      </c>
      <c r="Q33" s="12">
        <v>3.7944499999999999</v>
      </c>
      <c r="R33" s="12">
        <v>0.20743</v>
      </c>
      <c r="S33" s="12">
        <v>3.5870199999999999</v>
      </c>
      <c r="T33" s="8">
        <v>136</v>
      </c>
      <c r="U33" s="7">
        <v>43677</v>
      </c>
      <c r="V33" s="8">
        <v>9448615567</v>
      </c>
      <c r="W33" s="11" t="s">
        <v>138</v>
      </c>
      <c r="X33" s="8" t="s">
        <v>32</v>
      </c>
      <c r="Y33" s="11" t="s">
        <v>33</v>
      </c>
      <c r="Z33" s="8" t="s">
        <v>54</v>
      </c>
      <c r="AA33" s="11" t="s">
        <v>55</v>
      </c>
      <c r="AB33" s="12">
        <f t="shared" si="1"/>
        <v>3.7944499999999999E-2</v>
      </c>
    </row>
    <row r="34" spans="1:28" s="4" customFormat="1" ht="13" x14ac:dyDescent="0.3">
      <c r="A34" s="5">
        <v>2727</v>
      </c>
      <c r="B34" s="6" t="s">
        <v>139</v>
      </c>
      <c r="C34" s="7">
        <v>43693</v>
      </c>
      <c r="D34" s="8">
        <v>75</v>
      </c>
      <c r="E34" s="9" t="s">
        <v>56</v>
      </c>
      <c r="F34" s="8" t="s">
        <v>140</v>
      </c>
      <c r="G34" s="11" t="s">
        <v>141</v>
      </c>
      <c r="H34" s="8" t="str">
        <f>"000113"</f>
        <v>000113</v>
      </c>
      <c r="I34" s="7">
        <v>43357</v>
      </c>
      <c r="J34" s="8" t="str">
        <f>"000023"</f>
        <v>000023</v>
      </c>
      <c r="K34" s="7">
        <v>43601</v>
      </c>
      <c r="L34" s="8" t="str">
        <f>"000070"</f>
        <v>000070</v>
      </c>
      <c r="M34" s="7">
        <v>43602</v>
      </c>
      <c r="N34" s="8">
        <v>17</v>
      </c>
      <c r="O34" s="8" t="str">
        <f>"004206"</f>
        <v>004206</v>
      </c>
      <c r="P34" s="7">
        <v>43679</v>
      </c>
      <c r="Q34" s="12">
        <v>12.92793</v>
      </c>
      <c r="R34" s="12">
        <v>1.4350099999999999</v>
      </c>
      <c r="S34" s="12">
        <v>11.49292</v>
      </c>
      <c r="T34" s="8">
        <v>155</v>
      </c>
      <c r="U34" s="7">
        <v>43693</v>
      </c>
      <c r="V34" s="8">
        <v>9900333496</v>
      </c>
      <c r="W34" s="11" t="s">
        <v>39</v>
      </c>
      <c r="X34" s="8" t="s">
        <v>142</v>
      </c>
      <c r="Y34" s="11" t="s">
        <v>143</v>
      </c>
      <c r="Z34" s="8" t="s">
        <v>54</v>
      </c>
      <c r="AA34" s="11" t="s">
        <v>55</v>
      </c>
      <c r="AB34" s="12">
        <f t="shared" si="1"/>
        <v>0.12927929999999999</v>
      </c>
    </row>
    <row r="35" spans="1:28" s="4" customFormat="1" ht="13" x14ac:dyDescent="0.3">
      <c r="A35" s="5">
        <v>2728</v>
      </c>
      <c r="B35" s="6" t="s">
        <v>139</v>
      </c>
      <c r="C35" s="7">
        <v>43696</v>
      </c>
      <c r="D35" s="8">
        <v>75</v>
      </c>
      <c r="E35" s="9" t="s">
        <v>56</v>
      </c>
      <c r="F35" s="8" t="s">
        <v>144</v>
      </c>
      <c r="G35" s="11" t="s">
        <v>145</v>
      </c>
      <c r="H35" s="8" t="str">
        <f>"000088"</f>
        <v>000088</v>
      </c>
      <c r="I35" s="7">
        <v>41872</v>
      </c>
      <c r="J35" s="8" t="str">
        <f>"000104"</f>
        <v>000104</v>
      </c>
      <c r="K35" s="7">
        <v>43168</v>
      </c>
      <c r="L35" s="8" t="str">
        <f>"000232"</f>
        <v>000232</v>
      </c>
      <c r="M35" s="7">
        <v>43168</v>
      </c>
      <c r="N35" s="8">
        <v>12</v>
      </c>
      <c r="O35" s="8" t="str">
        <f>"004347"</f>
        <v>004347</v>
      </c>
      <c r="P35" s="7">
        <v>43684</v>
      </c>
      <c r="Q35" s="12">
        <v>88.923810000000003</v>
      </c>
      <c r="R35" s="12">
        <v>12.369400000000001</v>
      </c>
      <c r="S35" s="12">
        <v>76.554410000000004</v>
      </c>
      <c r="T35" s="8">
        <v>158</v>
      </c>
      <c r="U35" s="7">
        <v>43696</v>
      </c>
      <c r="V35" s="8">
        <v>9900333496</v>
      </c>
      <c r="W35" s="11" t="s">
        <v>39</v>
      </c>
      <c r="X35" s="8" t="s">
        <v>146</v>
      </c>
      <c r="Y35" s="11" t="s">
        <v>147</v>
      </c>
      <c r="Z35" s="8" t="s">
        <v>54</v>
      </c>
      <c r="AA35" s="11" t="s">
        <v>55</v>
      </c>
      <c r="AB35" s="12">
        <f t="shared" si="1"/>
        <v>0.88923810000000003</v>
      </c>
    </row>
    <row r="36" spans="1:28" s="4" customFormat="1" ht="13" x14ac:dyDescent="0.3">
      <c r="A36" s="5">
        <v>2729</v>
      </c>
      <c r="B36" s="6" t="s">
        <v>139</v>
      </c>
      <c r="C36" s="7">
        <v>43696</v>
      </c>
      <c r="D36" s="8">
        <v>75</v>
      </c>
      <c r="E36" s="9" t="s">
        <v>56</v>
      </c>
      <c r="F36" s="8" t="s">
        <v>148</v>
      </c>
      <c r="G36" s="11" t="s">
        <v>149</v>
      </c>
      <c r="H36" s="8" t="str">
        <f>"000285"</f>
        <v>000285</v>
      </c>
      <c r="I36" s="7">
        <v>43158</v>
      </c>
      <c r="J36" s="8" t="str">
        <f>"000100"</f>
        <v>000100</v>
      </c>
      <c r="K36" s="7">
        <v>43167</v>
      </c>
      <c r="L36" s="8" t="str">
        <f>"000235"</f>
        <v>000235</v>
      </c>
      <c r="M36" s="7">
        <v>43171</v>
      </c>
      <c r="N36" s="8">
        <v>17</v>
      </c>
      <c r="O36" s="8" t="str">
        <f>"004348"</f>
        <v>004348</v>
      </c>
      <c r="P36" s="7">
        <v>43684</v>
      </c>
      <c r="Q36" s="12">
        <v>19.46923</v>
      </c>
      <c r="R36" s="12">
        <v>2.2438799999999999</v>
      </c>
      <c r="S36" s="12">
        <v>17.225349999999999</v>
      </c>
      <c r="T36" s="8">
        <v>158</v>
      </c>
      <c r="U36" s="7">
        <v>43696</v>
      </c>
      <c r="V36" s="8">
        <v>9900333496</v>
      </c>
      <c r="W36" s="11" t="s">
        <v>39</v>
      </c>
      <c r="X36" s="8" t="s">
        <v>37</v>
      </c>
      <c r="Y36" s="11" t="s">
        <v>38</v>
      </c>
      <c r="Z36" s="8" t="s">
        <v>54</v>
      </c>
      <c r="AA36" s="11" t="s">
        <v>55</v>
      </c>
      <c r="AB36" s="12">
        <f t="shared" si="1"/>
        <v>0.19469229999999998</v>
      </c>
    </row>
    <row r="37" spans="1:28" s="4" customFormat="1" ht="13" x14ac:dyDescent="0.3">
      <c r="A37" s="5">
        <v>2730</v>
      </c>
      <c r="B37" s="6" t="s">
        <v>139</v>
      </c>
      <c r="C37" s="7">
        <v>43696</v>
      </c>
      <c r="D37" s="8">
        <v>75</v>
      </c>
      <c r="E37" s="9" t="s">
        <v>56</v>
      </c>
      <c r="F37" s="8" t="s">
        <v>150</v>
      </c>
      <c r="G37" s="11" t="s">
        <v>151</v>
      </c>
      <c r="H37" s="8" t="str">
        <f>"000281"</f>
        <v>000281</v>
      </c>
      <c r="I37" s="7">
        <v>43158</v>
      </c>
      <c r="J37" s="8" t="str">
        <f>"000099"</f>
        <v>000099</v>
      </c>
      <c r="K37" s="7">
        <v>43167</v>
      </c>
      <c r="L37" s="8" t="str">
        <f>"000236"</f>
        <v>000236</v>
      </c>
      <c r="M37" s="7">
        <v>43171</v>
      </c>
      <c r="N37" s="8">
        <v>17</v>
      </c>
      <c r="O37" s="8" t="str">
        <f>"004349"</f>
        <v>004349</v>
      </c>
      <c r="P37" s="7">
        <v>43684</v>
      </c>
      <c r="Q37" s="12">
        <v>19.561499999999999</v>
      </c>
      <c r="R37" s="12">
        <v>2.2487200000000001</v>
      </c>
      <c r="S37" s="12">
        <v>17.31278</v>
      </c>
      <c r="T37" s="8">
        <v>158</v>
      </c>
      <c r="U37" s="7">
        <v>43696</v>
      </c>
      <c r="V37" s="8">
        <v>9900333496</v>
      </c>
      <c r="W37" s="11" t="s">
        <v>39</v>
      </c>
      <c r="X37" s="8" t="s">
        <v>37</v>
      </c>
      <c r="Y37" s="11" t="s">
        <v>38</v>
      </c>
      <c r="Z37" s="8" t="s">
        <v>54</v>
      </c>
      <c r="AA37" s="11" t="s">
        <v>55</v>
      </c>
      <c r="AB37" s="12">
        <f t="shared" si="1"/>
        <v>0.19561499999999998</v>
      </c>
    </row>
    <row r="38" spans="1:28" s="4" customFormat="1" ht="13" x14ac:dyDescent="0.3">
      <c r="A38" s="5">
        <v>2731</v>
      </c>
      <c r="B38" s="6" t="s">
        <v>139</v>
      </c>
      <c r="C38" s="7">
        <v>43696</v>
      </c>
      <c r="D38" s="8">
        <v>75</v>
      </c>
      <c r="E38" s="9" t="s">
        <v>56</v>
      </c>
      <c r="F38" s="8" t="s">
        <v>152</v>
      </c>
      <c r="G38" s="11" t="s">
        <v>153</v>
      </c>
      <c r="H38" s="8" t="str">
        <f>"000007"</f>
        <v>000007</v>
      </c>
      <c r="I38" s="7">
        <v>42933</v>
      </c>
      <c r="J38" s="8" t="str">
        <f>"000107"</f>
        <v>000107</v>
      </c>
      <c r="K38" s="7">
        <v>43172</v>
      </c>
      <c r="L38" s="8" t="str">
        <f>"000242"</f>
        <v>000242</v>
      </c>
      <c r="M38" s="7">
        <v>43172</v>
      </c>
      <c r="N38" s="8">
        <v>17</v>
      </c>
      <c r="O38" s="8" t="str">
        <f>"004451"</f>
        <v>004451</v>
      </c>
      <c r="P38" s="7">
        <v>43691</v>
      </c>
      <c r="Q38" s="12">
        <v>9.5436899999999998</v>
      </c>
      <c r="R38" s="12">
        <v>1.2467299999999999</v>
      </c>
      <c r="S38" s="12">
        <v>8.2969600000000003</v>
      </c>
      <c r="T38" s="8">
        <v>158</v>
      </c>
      <c r="U38" s="7">
        <v>43696</v>
      </c>
      <c r="V38" s="8">
        <v>9900333496</v>
      </c>
      <c r="W38" s="11" t="s">
        <v>39</v>
      </c>
      <c r="X38" s="8" t="s">
        <v>40</v>
      </c>
      <c r="Y38" s="11" t="s">
        <v>41</v>
      </c>
      <c r="Z38" s="8" t="s">
        <v>54</v>
      </c>
      <c r="AA38" s="11" t="s">
        <v>55</v>
      </c>
      <c r="AB38" s="12">
        <f t="shared" si="1"/>
        <v>9.5436899999999991E-2</v>
      </c>
    </row>
    <row r="39" spans="1:28" s="4" customFormat="1" ht="13" x14ac:dyDescent="0.3">
      <c r="A39" s="5">
        <v>2732</v>
      </c>
      <c r="B39" s="6" t="s">
        <v>139</v>
      </c>
      <c r="C39" s="7">
        <v>43696</v>
      </c>
      <c r="D39" s="8">
        <v>75</v>
      </c>
      <c r="E39" s="9" t="s">
        <v>56</v>
      </c>
      <c r="F39" s="8" t="s">
        <v>154</v>
      </c>
      <c r="G39" s="11" t="s">
        <v>155</v>
      </c>
      <c r="H39" s="8" t="str">
        <f>"000496"</f>
        <v>000496</v>
      </c>
      <c r="I39" s="7">
        <v>43187</v>
      </c>
      <c r="J39" s="8" t="str">
        <f>"000070"</f>
        <v>000070</v>
      </c>
      <c r="K39" s="7">
        <v>43668</v>
      </c>
      <c r="L39" s="8" t="str">
        <f>"000196"</f>
        <v>000196</v>
      </c>
      <c r="M39" s="7">
        <v>43676</v>
      </c>
      <c r="N39" s="8">
        <v>17</v>
      </c>
      <c r="O39" s="8" t="str">
        <f>"004418"</f>
        <v>004418</v>
      </c>
      <c r="P39" s="7">
        <v>43690</v>
      </c>
      <c r="Q39" s="12">
        <v>48.755380000000002</v>
      </c>
      <c r="R39" s="12">
        <v>2.3165</v>
      </c>
      <c r="S39" s="12">
        <v>46.438879999999997</v>
      </c>
      <c r="T39" s="8">
        <v>159</v>
      </c>
      <c r="U39" s="7">
        <v>43696</v>
      </c>
      <c r="V39" s="8">
        <v>0</v>
      </c>
      <c r="W39" s="11" t="s">
        <v>156</v>
      </c>
      <c r="X39" s="8" t="s">
        <v>35</v>
      </c>
      <c r="Y39" s="11" t="s">
        <v>36</v>
      </c>
      <c r="Z39" s="8" t="s">
        <v>54</v>
      </c>
      <c r="AA39" s="11" t="s">
        <v>55</v>
      </c>
      <c r="AB39" s="12">
        <f t="shared" si="1"/>
        <v>0.48755380000000004</v>
      </c>
    </row>
    <row r="40" spans="1:28" s="4" customFormat="1" ht="13" x14ac:dyDescent="0.3">
      <c r="A40" s="5">
        <v>2733</v>
      </c>
      <c r="B40" s="6" t="s">
        <v>139</v>
      </c>
      <c r="C40" s="7">
        <v>43696</v>
      </c>
      <c r="D40" s="8">
        <v>75</v>
      </c>
      <c r="E40" s="9" t="s">
        <v>56</v>
      </c>
      <c r="F40" s="8" t="s">
        <v>157</v>
      </c>
      <c r="G40" s="11" t="s">
        <v>158</v>
      </c>
      <c r="H40" s="8" t="str">
        <f>"000037"</f>
        <v>000037</v>
      </c>
      <c r="I40" s="7">
        <v>43668</v>
      </c>
      <c r="J40" s="8" t="str">
        <f>"000069"</f>
        <v>000069</v>
      </c>
      <c r="K40" s="7">
        <v>43668</v>
      </c>
      <c r="L40" s="8" t="str">
        <f>"000185"</f>
        <v>000185</v>
      </c>
      <c r="M40" s="7">
        <v>43669</v>
      </c>
      <c r="N40" s="8">
        <v>19</v>
      </c>
      <c r="O40" s="8" t="str">
        <f>"004419"</f>
        <v>004419</v>
      </c>
      <c r="P40" s="7">
        <v>43690</v>
      </c>
      <c r="Q40" s="12">
        <v>48.691549999999999</v>
      </c>
      <c r="R40" s="12">
        <v>5.3479799999999997</v>
      </c>
      <c r="S40" s="12">
        <v>43.34357</v>
      </c>
      <c r="T40" s="8">
        <v>159</v>
      </c>
      <c r="U40" s="7">
        <v>43696</v>
      </c>
      <c r="V40" s="8">
        <v>0</v>
      </c>
      <c r="W40" s="11" t="s">
        <v>159</v>
      </c>
      <c r="X40" s="8" t="s">
        <v>35</v>
      </c>
      <c r="Y40" s="11" t="s">
        <v>36</v>
      </c>
      <c r="Z40" s="8" t="s">
        <v>54</v>
      </c>
      <c r="AA40" s="11" t="s">
        <v>55</v>
      </c>
      <c r="AB40" s="12">
        <f t="shared" si="1"/>
        <v>0.4869155</v>
      </c>
    </row>
    <row r="41" spans="1:28" s="4" customFormat="1" ht="13" x14ac:dyDescent="0.3">
      <c r="A41" s="5">
        <v>2734</v>
      </c>
      <c r="B41" s="6" t="s">
        <v>139</v>
      </c>
      <c r="C41" s="7">
        <v>43704</v>
      </c>
      <c r="D41" s="8">
        <v>75</v>
      </c>
      <c r="E41" s="9" t="s">
        <v>56</v>
      </c>
      <c r="F41" s="8" t="s">
        <v>160</v>
      </c>
      <c r="G41" s="11" t="s">
        <v>161</v>
      </c>
      <c r="H41" s="8" t="str">
        <f>"000008"</f>
        <v>000008</v>
      </c>
      <c r="I41" s="7">
        <v>42933</v>
      </c>
      <c r="J41" s="8" t="str">
        <f>"000135"</f>
        <v>000135</v>
      </c>
      <c r="K41" s="7">
        <v>43183</v>
      </c>
      <c r="L41" s="8" t="str">
        <f>"000304"</f>
        <v>000304</v>
      </c>
      <c r="M41" s="7">
        <v>43183</v>
      </c>
      <c r="N41" s="8">
        <v>17</v>
      </c>
      <c r="O41" s="8" t="str">
        <f>"004515"</f>
        <v>004515</v>
      </c>
      <c r="P41" s="7">
        <v>43693</v>
      </c>
      <c r="Q41" s="12">
        <v>9.7529699999999995</v>
      </c>
      <c r="R41" s="12">
        <v>1.2299800000000001</v>
      </c>
      <c r="S41" s="12">
        <v>8.5229900000000001</v>
      </c>
      <c r="T41" s="8">
        <v>166</v>
      </c>
      <c r="U41" s="7">
        <v>43704</v>
      </c>
      <c r="V41" s="8">
        <v>9900333496</v>
      </c>
      <c r="W41" s="11" t="s">
        <v>39</v>
      </c>
      <c r="X41" s="8" t="s">
        <v>40</v>
      </c>
      <c r="Y41" s="11" t="s">
        <v>41</v>
      </c>
      <c r="Z41" s="8" t="s">
        <v>54</v>
      </c>
      <c r="AA41" s="11" t="s">
        <v>55</v>
      </c>
      <c r="AB41" s="12">
        <f t="shared" si="1"/>
        <v>9.7529699999999997E-2</v>
      </c>
    </row>
    <row r="42" spans="1:28" s="4" customFormat="1" ht="13" x14ac:dyDescent="0.3">
      <c r="A42" s="5">
        <v>2735</v>
      </c>
      <c r="B42" s="6" t="s">
        <v>162</v>
      </c>
      <c r="C42" s="7">
        <v>43717</v>
      </c>
      <c r="D42" s="8">
        <v>75</v>
      </c>
      <c r="E42" s="9" t="s">
        <v>56</v>
      </c>
      <c r="F42" s="8" t="s">
        <v>163</v>
      </c>
      <c r="G42" s="11" t="s">
        <v>164</v>
      </c>
      <c r="H42" s="8" t="str">
        <f>"000396"</f>
        <v>000396</v>
      </c>
      <c r="I42" s="7">
        <v>43538</v>
      </c>
      <c r="J42" s="8" t="str">
        <f>"000066"</f>
        <v>000066</v>
      </c>
      <c r="K42" s="7">
        <v>43661</v>
      </c>
      <c r="L42" s="8" t="str">
        <f>"000177"</f>
        <v>000177</v>
      </c>
      <c r="M42" s="7">
        <v>43665</v>
      </c>
      <c r="N42" s="8">
        <v>18</v>
      </c>
      <c r="O42" s="8" t="str">
        <f>"004793"</f>
        <v>004793</v>
      </c>
      <c r="P42" s="7">
        <v>43704</v>
      </c>
      <c r="Q42" s="12">
        <v>9.9769400000000008</v>
      </c>
      <c r="R42" s="12">
        <v>1.1680699999999999</v>
      </c>
      <c r="S42" s="12">
        <v>8.8088700000000006</v>
      </c>
      <c r="T42" s="8">
        <v>178</v>
      </c>
      <c r="U42" s="7">
        <v>43717</v>
      </c>
      <c r="V42" s="8">
        <v>9900333496</v>
      </c>
      <c r="W42" s="11" t="s">
        <v>39</v>
      </c>
      <c r="X42" s="8" t="s">
        <v>165</v>
      </c>
      <c r="Y42" s="11" t="s">
        <v>166</v>
      </c>
      <c r="Z42" s="8" t="s">
        <v>54</v>
      </c>
      <c r="AA42" s="11" t="s">
        <v>55</v>
      </c>
      <c r="AB42" s="12">
        <f t="shared" si="1"/>
        <v>9.9769400000000008E-2</v>
      </c>
    </row>
    <row r="43" spans="1:28" s="4" customFormat="1" ht="13" x14ac:dyDescent="0.3">
      <c r="A43" s="5">
        <v>2736</v>
      </c>
      <c r="B43" s="6" t="s">
        <v>162</v>
      </c>
      <c r="C43" s="7">
        <v>43725</v>
      </c>
      <c r="D43" s="8">
        <v>75</v>
      </c>
      <c r="E43" s="9" t="s">
        <v>56</v>
      </c>
      <c r="F43" s="8" t="s">
        <v>167</v>
      </c>
      <c r="G43" s="11" t="s">
        <v>168</v>
      </c>
      <c r="H43" s="8" t="str">
        <f>"000110"</f>
        <v>000110</v>
      </c>
      <c r="I43" s="7">
        <v>43080</v>
      </c>
      <c r="J43" s="8" t="str">
        <f>"000108"</f>
        <v>000108</v>
      </c>
      <c r="K43" s="7">
        <v>43172</v>
      </c>
      <c r="L43" s="8" t="str">
        <f>"000243"</f>
        <v>000243</v>
      </c>
      <c r="M43" s="7">
        <v>43172</v>
      </c>
      <c r="N43" s="8">
        <v>17</v>
      </c>
      <c r="O43" s="8" t="str">
        <f>"004923"</f>
        <v>004923</v>
      </c>
      <c r="P43" s="7">
        <v>43714</v>
      </c>
      <c r="Q43" s="12">
        <v>48.463200000000001</v>
      </c>
      <c r="R43" s="12">
        <v>5.7450900000000003</v>
      </c>
      <c r="S43" s="12">
        <v>42.718110000000003</v>
      </c>
      <c r="T43" s="8">
        <v>190</v>
      </c>
      <c r="U43" s="7">
        <v>43725</v>
      </c>
      <c r="V43" s="8">
        <v>9900333496</v>
      </c>
      <c r="W43" s="11" t="s">
        <v>39</v>
      </c>
      <c r="X43" s="8" t="s">
        <v>169</v>
      </c>
      <c r="Y43" s="11" t="s">
        <v>170</v>
      </c>
      <c r="Z43" s="8" t="s">
        <v>54</v>
      </c>
      <c r="AA43" s="11" t="s">
        <v>55</v>
      </c>
      <c r="AB43" s="12">
        <f t="shared" si="1"/>
        <v>0.48463200000000001</v>
      </c>
    </row>
    <row r="44" spans="1:28" s="4" customFormat="1" ht="13" x14ac:dyDescent="0.3">
      <c r="A44" s="5">
        <v>2737</v>
      </c>
      <c r="B44" s="6" t="s">
        <v>162</v>
      </c>
      <c r="C44" s="7">
        <v>43732</v>
      </c>
      <c r="D44" s="8">
        <v>75</v>
      </c>
      <c r="E44" s="9" t="s">
        <v>56</v>
      </c>
      <c r="F44" s="8" t="s">
        <v>65</v>
      </c>
      <c r="G44" s="11" t="s">
        <v>66</v>
      </c>
      <c r="H44" s="8" t="str">
        <f>"000012"</f>
        <v>000012</v>
      </c>
      <c r="I44" s="7">
        <v>42933</v>
      </c>
      <c r="J44" s="8" t="str">
        <f>"000048"</f>
        <v>000048</v>
      </c>
      <c r="K44" s="7">
        <v>43717</v>
      </c>
      <c r="L44" s="8" t="str">
        <f>"000050"</f>
        <v>000050</v>
      </c>
      <c r="M44" s="7">
        <v>43717</v>
      </c>
      <c r="N44" s="8">
        <v>16</v>
      </c>
      <c r="O44" s="8" t="str">
        <f>"005416"</f>
        <v>005416</v>
      </c>
      <c r="P44" s="7">
        <v>43732</v>
      </c>
      <c r="Q44" s="12">
        <v>7.3273999999999999</v>
      </c>
      <c r="R44" s="12">
        <v>0.72436</v>
      </c>
      <c r="S44" s="12">
        <v>6.60304</v>
      </c>
      <c r="T44" s="8">
        <v>200</v>
      </c>
      <c r="U44" s="7">
        <v>43732</v>
      </c>
      <c r="V44" s="8">
        <v>9343953602</v>
      </c>
      <c r="W44" s="11" t="s">
        <v>67</v>
      </c>
      <c r="X44" s="8" t="s">
        <v>29</v>
      </c>
      <c r="Y44" s="11" t="s">
        <v>30</v>
      </c>
      <c r="Z44" s="8" t="s">
        <v>42</v>
      </c>
      <c r="AA44" s="11" t="s">
        <v>43</v>
      </c>
      <c r="AB44" s="12">
        <f t="shared" si="1"/>
        <v>7.3274000000000006E-2</v>
      </c>
    </row>
    <row r="45" spans="1:28" s="4" customFormat="1" ht="13" x14ac:dyDescent="0.3">
      <c r="A45" s="5">
        <v>2738</v>
      </c>
      <c r="B45" s="6" t="s">
        <v>162</v>
      </c>
      <c r="C45" s="7">
        <v>43734</v>
      </c>
      <c r="D45" s="8">
        <v>75</v>
      </c>
      <c r="E45" s="9" t="s">
        <v>56</v>
      </c>
      <c r="F45" s="8" t="s">
        <v>171</v>
      </c>
      <c r="G45" s="11" t="s">
        <v>172</v>
      </c>
      <c r="H45" s="8" t="str">
        <f>"000109"</f>
        <v>000109</v>
      </c>
      <c r="I45" s="7">
        <v>43080</v>
      </c>
      <c r="J45" s="8" t="str">
        <f>"000113"</f>
        <v>000113</v>
      </c>
      <c r="K45" s="7">
        <v>43341</v>
      </c>
      <c r="L45" s="8" t="str">
        <f>"000252"</f>
        <v>000252</v>
      </c>
      <c r="M45" s="7">
        <v>43342</v>
      </c>
      <c r="N45" s="8">
        <v>17</v>
      </c>
      <c r="O45" s="8" t="str">
        <f>"005393"</f>
        <v>005393</v>
      </c>
      <c r="P45" s="7">
        <v>43731</v>
      </c>
      <c r="Q45" s="12">
        <v>48.238729999999997</v>
      </c>
      <c r="R45" s="12">
        <v>5.8181799999999999</v>
      </c>
      <c r="S45" s="12">
        <v>42.420549999999999</v>
      </c>
      <c r="T45" s="8">
        <v>203</v>
      </c>
      <c r="U45" s="7">
        <v>43734</v>
      </c>
      <c r="V45" s="8">
        <v>9900333496</v>
      </c>
      <c r="W45" s="11" t="s">
        <v>39</v>
      </c>
      <c r="X45" s="8" t="s">
        <v>169</v>
      </c>
      <c r="Y45" s="11" t="s">
        <v>170</v>
      </c>
      <c r="Z45" s="8" t="s">
        <v>54</v>
      </c>
      <c r="AA45" s="11" t="s">
        <v>55</v>
      </c>
      <c r="AB45" s="12">
        <f t="shared" si="1"/>
        <v>0.48238729999999996</v>
      </c>
    </row>
    <row r="46" spans="1:28" s="4" customFormat="1" ht="13" x14ac:dyDescent="0.3">
      <c r="A46" s="5">
        <v>2739</v>
      </c>
      <c r="B46" s="6" t="s">
        <v>173</v>
      </c>
      <c r="C46" s="7">
        <v>43741</v>
      </c>
      <c r="D46" s="5">
        <v>75</v>
      </c>
      <c r="E46" s="9" t="s">
        <v>56</v>
      </c>
      <c r="F46" s="8" t="s">
        <v>79</v>
      </c>
      <c r="G46" s="9" t="s">
        <v>174</v>
      </c>
      <c r="H46" s="8" t="str">
        <f>"000198"</f>
        <v>000198</v>
      </c>
      <c r="I46" s="7">
        <v>43456</v>
      </c>
      <c r="J46" s="8" t="str">
        <f>"000079"</f>
        <v>000079</v>
      </c>
      <c r="K46" s="7">
        <v>43703</v>
      </c>
      <c r="L46" s="8" t="str">
        <f>"000224"</f>
        <v>000224</v>
      </c>
      <c r="M46" s="7">
        <v>43717</v>
      </c>
      <c r="N46" s="8">
        <v>19</v>
      </c>
      <c r="O46" s="8" t="str">
        <f>"005412"</f>
        <v>005412</v>
      </c>
      <c r="P46" s="7">
        <v>43732</v>
      </c>
      <c r="Q46" s="10">
        <v>2.879</v>
      </c>
      <c r="R46" s="10">
        <v>0.28789999999999999</v>
      </c>
      <c r="S46" s="10">
        <v>2.5911</v>
      </c>
      <c r="T46" s="8">
        <v>13</v>
      </c>
      <c r="U46" s="7">
        <v>43741</v>
      </c>
      <c r="V46" s="8">
        <v>8618239904</v>
      </c>
      <c r="W46" s="9" t="s">
        <v>175</v>
      </c>
      <c r="X46" s="8" t="s">
        <v>35</v>
      </c>
      <c r="Y46" s="9" t="s">
        <v>36</v>
      </c>
      <c r="Z46" s="8" t="s">
        <v>54</v>
      </c>
      <c r="AA46" s="9" t="s">
        <v>55</v>
      </c>
      <c r="AB46" s="10">
        <v>2.879E-2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2020-01-28T12:01:31Z</dcterms:modified>
</cp:coreProperties>
</file>