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0" i="1" l="1"/>
  <c r="L40" i="1"/>
  <c r="J40" i="1"/>
  <c r="H40" i="1"/>
  <c r="O39" i="1"/>
  <c r="L39" i="1"/>
  <c r="J39" i="1"/>
  <c r="H39" i="1"/>
  <c r="AB38" i="1"/>
  <c r="O38" i="1"/>
  <c r="L38" i="1"/>
  <c r="J38" i="1"/>
  <c r="H38" i="1"/>
  <c r="AB37" i="1"/>
  <c r="O37" i="1"/>
  <c r="L37" i="1"/>
  <c r="J37" i="1"/>
  <c r="H37" i="1"/>
  <c r="AB36" i="1"/>
  <c r="O36" i="1"/>
  <c r="L36" i="1"/>
  <c r="J36" i="1"/>
  <c r="H36" i="1"/>
  <c r="AB35" i="1"/>
  <c r="O35" i="1"/>
  <c r="L35" i="1"/>
  <c r="J35" i="1"/>
  <c r="H35" i="1"/>
  <c r="AB34" i="1"/>
  <c r="O34" i="1"/>
  <c r="L34" i="1"/>
  <c r="J34" i="1"/>
  <c r="H34" i="1"/>
  <c r="AB33" i="1"/>
  <c r="O33" i="1"/>
  <c r="L33" i="1"/>
  <c r="J33" i="1"/>
  <c r="H33" i="1"/>
  <c r="AB32" i="1"/>
  <c r="O32" i="1"/>
  <c r="L32" i="1"/>
  <c r="J32" i="1"/>
  <c r="H32" i="1"/>
  <c r="AB31" i="1"/>
  <c r="O31" i="1"/>
  <c r="L31" i="1"/>
  <c r="J31" i="1"/>
  <c r="H31" i="1"/>
  <c r="AB30" i="1"/>
  <c r="O30" i="1"/>
  <c r="L30" i="1"/>
  <c r="J30" i="1"/>
  <c r="H30" i="1"/>
  <c r="AB29" i="1"/>
  <c r="O29" i="1"/>
  <c r="L29" i="1"/>
  <c r="J29" i="1"/>
  <c r="H29" i="1"/>
  <c r="AB28" i="1"/>
  <c r="O28" i="1"/>
  <c r="L28" i="1"/>
  <c r="J28" i="1"/>
  <c r="H28" i="1"/>
  <c r="AB27" i="1"/>
  <c r="O27" i="1"/>
  <c r="L27" i="1"/>
  <c r="J27" i="1"/>
  <c r="H27" i="1"/>
  <c r="AB26" i="1"/>
  <c r="O26" i="1"/>
  <c r="L26" i="1"/>
  <c r="J26" i="1"/>
  <c r="H26" i="1"/>
  <c r="AB25" i="1"/>
  <c r="O25" i="1"/>
  <c r="L25" i="1"/>
  <c r="J25" i="1"/>
  <c r="H25" i="1"/>
  <c r="AB24" i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O20" i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<sst xmlns="http://schemas.openxmlformats.org/spreadsheetml/2006/main" count="379" uniqueCount="153">
  <si>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</si>
  <si>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</si>
  <si>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</si>
  <si>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</si>
  <si>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</si>
  <si>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</si>
  <si>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</si>
  <si>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</si>
  <si>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</si>
  <si>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</si>
  <si>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</si>
  <si>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</si>
  <si>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</si>
  <si>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</si>
  <si>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</si>
  <si>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</si>
  <si>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</si>
  <si>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</si>
  <si>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</si>
  <si>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</si>
  <si>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</si>
  <si>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</si>
  <si>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</si>
  <si>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</si>
  <si>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</si>
  <si>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</si>
  <si>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</si>
  <si>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</si>
  <si>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</si>
  <si>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P0300</t>
  </si>
  <si>
    <t>M and R to Street Lights - Replacement of Burnt Bulbs etc. (Package)</t>
  </si>
  <si>
    <t>June</t>
  </si>
  <si>
    <t>P1771</t>
  </si>
  <si>
    <t>Zone Works - POW Works</t>
  </si>
  <si>
    <t>May</t>
  </si>
  <si>
    <t>P1878</t>
  </si>
  <si>
    <t>18per - Works (Bhagyajyothi, Sooru / Neeru Yojane and General) (54 Lakhs / New Wards)</t>
  </si>
  <si>
    <t>KRIDL</t>
  </si>
  <si>
    <t>P0190</t>
  </si>
  <si>
    <t>Works sanctioned by Hon Mayor</t>
  </si>
  <si>
    <t xml:space="preserve">M/s KRIDL </t>
  </si>
  <si>
    <t>P3075</t>
  </si>
  <si>
    <t>Special comprehensive development works in Bangalore city (Bangalore city in charge Minister Discretionary Grants)</t>
  </si>
  <si>
    <t>ddo089</t>
  </si>
  <si>
    <t xml:space="preserve"> Assistant Executive Engineer Electrical East Zone</t>
  </si>
  <si>
    <t>ddo080</t>
  </si>
  <si>
    <t xml:space="preserve"> Assistant Executive Engineer Pulikeshinagar East Zone</t>
  </si>
  <si>
    <t>M/s KRIDL</t>
  </si>
  <si>
    <t>P3166</t>
  </si>
  <si>
    <t>Special Development works in ward No.21, 24, 50, 54, 58, 59, 72, 78, 110, 141, 188 and 197 (Rs.200 Lakhs per ward)</t>
  </si>
  <si>
    <t>M/s Srinath Electricals</t>
  </si>
  <si>
    <t>N.B. Nagaraj</t>
  </si>
  <si>
    <t>Pulikeshi Nagara</t>
  </si>
  <si>
    <t>078-16-000001</t>
  </si>
  <si>
    <t>Operation and Maintenance of street lights at Pulakeshinagara area ward no 78 Package E12 for one year.</t>
  </si>
  <si>
    <t>078-16-000004</t>
  </si>
  <si>
    <t>RENOVATION OF BBMP SCHOOL BUILDING AT ROBERTSON ROAD IN WARD NO 78 PULIKESHINAGAR</t>
  </si>
  <si>
    <t>B.K. Usha</t>
  </si>
  <si>
    <t>078-16-000030</t>
  </si>
  <si>
    <t>Asphalting to Muneshwara Temple road and surrounding in Ward No.78 Pulikeshinagara</t>
  </si>
  <si>
    <t>078-18-000063</t>
  </si>
  <si>
    <t>IMPROVEMENTS TO ROADS DRAINS AND FOOTPATH AT DHANAKOTILANE AND THIMMAIAH ROAD SURROUNDING AREA IN WARD NO 78 PULIKESHINAGAR</t>
  </si>
  <si>
    <t>078-18-000061</t>
  </si>
  <si>
    <t>CONSTRUCTION OF ADDITIONAL CLASS ROOMS TO BBMP COLLEGE BUILDING TO ROBERTSON ROAD IN WARD NO 78 PULIKESHINAGAR</t>
  </si>
  <si>
    <t>T. Nataraj</t>
  </si>
  <si>
    <t>078-17-000016</t>
  </si>
  <si>
    <t>Providing  concrete to Tulasi Ram Mutta Temple  Road and its cross road in ward no 78 Pulikeshinagar.</t>
  </si>
  <si>
    <t>Sridhar Ramaiah</t>
  </si>
  <si>
    <t>078-17-000022</t>
  </si>
  <si>
    <t>Providing  concrete to Dhanakoti Lane and Its Cross  Roads in ward no 78 Pulikeshinagar.</t>
  </si>
  <si>
    <t>A. Narayana</t>
  </si>
  <si>
    <t>078-19-000015</t>
  </si>
  <si>
    <t>IMPROVEMENET OF CC ROADS AND DRAINS AT MOORE ROAD QUATRES AND SURROUNDING AREAS IN WARD NO 78</t>
  </si>
  <si>
    <t>078-19-000016</t>
  </si>
  <si>
    <t>PROVIDING OF CC ROADS BESIDE SWD AT MOORE ROAD AND SURROUNDING AREAS IN WARD NO 78</t>
  </si>
  <si>
    <t>078-19-000017</t>
  </si>
  <si>
    <t>IMPROVEMENT OF CC ROADS AND DRAINS AT NETHAJI ROAD SLUM AND SURROUNDING AREAS IN WARD NO 78</t>
  </si>
  <si>
    <t>078-17-000014</t>
  </si>
  <si>
    <t>Improvements to Culverts Stephens road, Standage Road MDM Road in ward No.78 Pulikeshinagar.</t>
  </si>
  <si>
    <t>B.S. Nayana</t>
  </si>
  <si>
    <t>078-15-000026</t>
  </si>
  <si>
    <t xml:space="preserve">Construction of RCC Drain Accros the Madulair Property From Broadlane Road to SWD in ward no 78 </t>
  </si>
  <si>
    <t>L. Gangadhar</t>
  </si>
  <si>
    <t>078-15-000025</t>
  </si>
  <si>
    <t xml:space="preserve">Providing Cement Concrete Road Surrounding New BBMP Office at Robertson Road in ward no 78 </t>
  </si>
  <si>
    <t>078-15-000023</t>
  </si>
  <si>
    <t xml:space="preserve">Construction of RCC Drain in front of New BBMP Office at Robertson Cross in ward no 78 </t>
  </si>
  <si>
    <t>078-17-000078</t>
  </si>
  <si>
    <t>Providing Footpath Tiles to Prominade Road REACH-II in Ward No.78 Pulikeshinagar</t>
  </si>
  <si>
    <t>078-17-000077</t>
  </si>
  <si>
    <t>Providing Footpath Tiles to Prominade Road REACH-I in Ward No.78 Pulikeshinagar</t>
  </si>
  <si>
    <t>078-17-000076</t>
  </si>
  <si>
    <t>Improvements and Beatification to Footpath REACH-II at Nethaji Road in Ward No.78 Pulikeshinagar</t>
  </si>
  <si>
    <t>078-17-000075</t>
  </si>
  <si>
    <t>Improvements and Beatification to Footpath REACH-I at Nethaji Road in Ward No.78 Pulikeshinagar</t>
  </si>
  <si>
    <t>July</t>
  </si>
  <si>
    <t>078-17-000066</t>
  </si>
  <si>
    <t>Providing Ornamental Grill Fencing to Main Road Footpaths in Ward No.78 Pulikeshinagar</t>
  </si>
  <si>
    <t>T.Nataraj</t>
  </si>
  <si>
    <t>P3172</t>
  </si>
  <si>
    <t>Special Development works in ward No.177,78,97, 57,99,100,68,11,126,168, 113,02, 181,03, 21,33,23,24,27 ,59,53,57,81,47, 45,72, 50,91,92,117,145,146,147,148,151,152, 122,134, 157, 84,85,150,163, 179,180, 170, 171, 175,176, 173,174, 186,189, 190,193,185,191,194, 195,196, 127, (Rs.200 lakhs each ward)</t>
  </si>
  <si>
    <t>078-16-000028</t>
  </si>
  <si>
    <t>Improvements to drian and footpath on Stephens road in Ward No.78</t>
  </si>
  <si>
    <t>078-17-000042</t>
  </si>
  <si>
    <t>REPAIRS TO PARK LIGHTINGS CABLES TIMERS COMMING UNDER PULIKESHINAGAR CONSTITUENCY</t>
  </si>
  <si>
    <t>M/s Aaditya Electricals</t>
  </si>
  <si>
    <t>P0298</t>
  </si>
  <si>
    <t>M and R to Electrical Installations in Parks and Gardens, Playgrounds, Burial Grounds</t>
  </si>
  <si>
    <t>078-14-000006</t>
  </si>
  <si>
    <t>IMPROVEMENTS TO DRAIN AT AHAMED SAIT ROAD AND ITS CROSSES IN WARD NO 78 PULIKESHINAGAR</t>
  </si>
  <si>
    <t>D.M. Krishna</t>
  </si>
  <si>
    <t>078-14-000011</t>
  </si>
  <si>
    <t>IMPROVEMENTS TO FOOTPATH AND DRAIN ON HAINS ROAD FROM ROBERSON ROAD TO COLES ROAD IN WARD NO 78 PULIKESHI NAGAR</t>
  </si>
  <si>
    <t>078-18-000059</t>
  </si>
  <si>
    <t>CONSTRUCTION OF TAILORING AND COMPUTER TRAINING CENTER AT DHANAKOTI LANE IN WARD NO 78 PULIKIESHINAGAR</t>
  </si>
  <si>
    <t>078-18-000060</t>
  </si>
  <si>
    <t>CONSTRUCTION OF EWS QUATRES AT SULTTHANJI GUNTA ROAD IN WARD NO 78 PULIKESHINAGAR</t>
  </si>
  <si>
    <t>S.T. Lokesha</t>
  </si>
  <si>
    <t>078-15-000022</t>
  </si>
  <si>
    <t xml:space="preserve">Construction of School Building at BBMP Government School on Cleveland town in ward no 78 </t>
  </si>
  <si>
    <t>078-18-000051</t>
  </si>
  <si>
    <t xml:space="preserve">Desilting of Storm Water Drain and Tertiary drains in Ward No.78, Pulikeshinagar </t>
  </si>
  <si>
    <t>078-17-000074</t>
  </si>
  <si>
    <t>Repairs and Construction to M.S.Buliding at Sulthanji Gunta Road in Ward No.78, Pulikeshinagar</t>
  </si>
  <si>
    <t>078-16-000035</t>
  </si>
  <si>
    <t>IMPROVEMENTS AND ASPHALTING TO MDM ROAD IN WARD NO 78</t>
  </si>
  <si>
    <t>M/S S.K. Associates</t>
  </si>
  <si>
    <t>P3106</t>
  </si>
  <si>
    <t>Nagarothana Works</t>
  </si>
  <si>
    <t>August</t>
  </si>
  <si>
    <t>078-18-000027</t>
  </si>
  <si>
    <t>Improvements to Drain opp to Mosque road at Mosque road and surrounding area in ward no 78 Pulikeshinagara</t>
  </si>
  <si>
    <t>V. Devanand</t>
  </si>
  <si>
    <t>P3332</t>
  </si>
  <si>
    <t>Special Development works at Ward No. 02,12,22,23,24,25,30,31,37, 38,40,41,42,47,49,53,55,56,59,73,77,78,81,74,87,97,102,117,118,120,121,131,134,136,140,135,147,148,152,157,170,172,176 ( 43 wards Rs.4.00 Cr. Each)</t>
  </si>
  <si>
    <t>September</t>
  </si>
  <si>
    <t>078-17-000073</t>
  </si>
  <si>
    <t>Repairs and Construction of BBMP Building Sulthanji Gunta Road at Bamboo Bazar in Ward No.78 Pulikeshinagar</t>
  </si>
  <si>
    <t>S.K. Haroon</t>
  </si>
  <si>
    <t>078-18-000070</t>
  </si>
  <si>
    <t>Providing street light fittings, poles, timers and connected accessories to Mosque road, MM ROad and surrounding area in ward no 78</t>
  </si>
  <si>
    <t>M/s.KRIDL</t>
  </si>
  <si>
    <t>078-18-000072</t>
  </si>
  <si>
    <t>Providing street light fittings, poles, timers and connected accessories to St. Jhons Church road and surrounding area in ward no 78</t>
  </si>
  <si>
    <t>078-18-000073</t>
  </si>
  <si>
    <t>Providing street light fittings, poles, timers and connected accessories to Assayee road and surrounding area in ward no 78</t>
  </si>
  <si>
    <t>October</t>
  </si>
  <si>
    <t>078-18-000071</t>
  </si>
  <si>
    <t>Providing street light fittings, poles, timers and connected accessories toNethaji Road and surrounding area in ward no 78</t>
  </si>
  <si>
    <t>078-17-000002</t>
  </si>
  <si>
    <t>Construction of stage and rest rooms for players and other works to BBMP east football ground in ward no 78</t>
  </si>
  <si>
    <t>P2178</t>
  </si>
  <si>
    <t>Works sanctioned by Dy.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</si>
</sst>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tabSelected="1" workbookViewId="0">
      <selection activeCell="D3" sqref="D3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3.36328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s="4" customFormat="1" ht="13" x14ac:dyDescent="0.3">
      <c r="A2" s="5">
        <v>2781</v>
      </c>
      <c r="B2" s="6" t="s">
        <v>28</v>
      </c>
      <c r="C2" s="7">
        <v>43575</v>
      </c>
      <c r="D2" s="8">
        <v>78</v>
      </c>
      <c r="E2" s="9" t="s">
        <v>52</v>
      </c>
      <c r="F2" s="8" t="s">
        <v>53</v>
      </c>
      <c r="G2" s="9" t="s">
        <v>54</v>
      </c>
      <c r="H2" s="8" t="str">
        <f>"000024"</f>
        <v>000024</v>
      </c>
      <c r="I2" s="7">
        <v>42947</v>
      </c>
      <c r="J2" s="8" t="str">
        <f>"000192"</f>
        <v>000192</v>
      </c>
      <c r="K2" s="7">
        <v>43462</v>
      </c>
      <c r="L2" s="8" t="str">
        <f>"000185"</f>
        <v>000185</v>
      </c>
      <c r="M2" s="7">
        <v>43462</v>
      </c>
      <c r="N2" s="8">
        <v>16</v>
      </c>
      <c r="O2" s="8" t="str">
        <f>"000600"</f>
        <v>000600</v>
      </c>
      <c r="P2" s="7">
        <v>43570</v>
      </c>
      <c r="Q2" s="10">
        <v>7.3995199999999999</v>
      </c>
      <c r="R2" s="10">
        <v>0.64598999999999995</v>
      </c>
      <c r="S2" s="10">
        <v>6.7535299999999996</v>
      </c>
      <c r="T2" s="8">
        <v>20</v>
      </c>
      <c r="U2" s="7">
        <v>43575</v>
      </c>
      <c r="V2" s="8">
        <v>9845860866</v>
      </c>
      <c r="W2" s="9" t="s">
        <v>50</v>
      </c>
      <c r="X2" s="8" t="s">
        <v>29</v>
      </c>
      <c r="Y2" s="9" t="s">
        <v>30</v>
      </c>
      <c r="Z2" s="8" t="s">
        <v>43</v>
      </c>
      <c r="AA2" s="9" t="s">
        <v>44</v>
      </c>
      <c r="AB2" s="10">
        <f t="shared" ref="AB2:AB14" si="0">Q2/100</f>
        <v>7.3995199999999997E-2</v>
      </c>
    </row>
    <row r="3" spans="1:28" s="4" customFormat="1" ht="13" x14ac:dyDescent="0.3">
      <c r="A3" s="5">
        <v>2782</v>
      </c>
      <c r="B3" s="6" t="s">
        <v>28</v>
      </c>
      <c r="C3" s="7">
        <v>43575</v>
      </c>
      <c r="D3" s="8">
        <v>78</v>
      </c>
      <c r="E3" s="9" t="s">
        <v>52</v>
      </c>
      <c r="F3" s="8" t="s">
        <v>53</v>
      </c>
      <c r="G3" s="9" t="s">
        <v>54</v>
      </c>
      <c r="H3" s="8" t="str">
        <f>"000024"</f>
        <v>000024</v>
      </c>
      <c r="I3" s="7">
        <v>42947</v>
      </c>
      <c r="J3" s="8" t="str">
        <f>"000192"</f>
        <v>000192</v>
      </c>
      <c r="K3" s="7">
        <v>43462</v>
      </c>
      <c r="L3" s="8" t="str">
        <f>"000185"</f>
        <v>000185</v>
      </c>
      <c r="M3" s="7">
        <v>43462</v>
      </c>
      <c r="N3" s="8">
        <v>16</v>
      </c>
      <c r="O3" s="8" t="str">
        <f>"000600"</f>
        <v>000600</v>
      </c>
      <c r="P3" s="7">
        <v>43570</v>
      </c>
      <c r="Q3" s="10">
        <v>2.8686799999999999</v>
      </c>
      <c r="R3" s="10">
        <v>0.40150999999999998</v>
      </c>
      <c r="S3" s="10">
        <v>2.4671699999999999</v>
      </c>
      <c r="T3" s="8">
        <v>20</v>
      </c>
      <c r="U3" s="7">
        <v>43575</v>
      </c>
      <c r="V3" s="8">
        <v>9845860866</v>
      </c>
      <c r="W3" s="9" t="s">
        <v>50</v>
      </c>
      <c r="X3" s="8" t="s">
        <v>29</v>
      </c>
      <c r="Y3" s="9" t="s">
        <v>30</v>
      </c>
      <c r="Z3" s="8" t="s">
        <v>43</v>
      </c>
      <c r="AA3" s="9" t="s">
        <v>44</v>
      </c>
      <c r="AB3" s="10">
        <f t="shared" si="0"/>
        <v>2.8686799999999998E-2</v>
      </c>
    </row>
    <row r="4" spans="1:28" s="4" customFormat="1" ht="13" x14ac:dyDescent="0.3">
      <c r="A4" s="5">
        <v>2783</v>
      </c>
      <c r="B4" s="6" t="s">
        <v>28</v>
      </c>
      <c r="C4" s="7">
        <v>43580</v>
      </c>
      <c r="D4" s="8">
        <v>78</v>
      </c>
      <c r="E4" s="9" t="s">
        <v>52</v>
      </c>
      <c r="F4" s="8" t="s">
        <v>55</v>
      </c>
      <c r="G4" s="9" t="s">
        <v>56</v>
      </c>
      <c r="H4" s="8" t="str">
        <f>"000055"</f>
        <v>000055</v>
      </c>
      <c r="I4" s="7">
        <v>42509</v>
      </c>
      <c r="J4" s="8" t="str">
        <f>"000019"</f>
        <v>000019</v>
      </c>
      <c r="K4" s="7">
        <v>43278</v>
      </c>
      <c r="L4" s="8" t="str">
        <f>"000067"</f>
        <v>000067</v>
      </c>
      <c r="M4" s="7">
        <v>43280</v>
      </c>
      <c r="N4" s="8">
        <v>16</v>
      </c>
      <c r="O4" s="8" t="str">
        <f>"000956"</f>
        <v>000956</v>
      </c>
      <c r="P4" s="7">
        <v>43579</v>
      </c>
      <c r="Q4" s="10">
        <v>9.4821500000000007</v>
      </c>
      <c r="R4" s="10">
        <v>0.34025</v>
      </c>
      <c r="S4" s="10">
        <v>9.1418999999999997</v>
      </c>
      <c r="T4" s="8">
        <v>27</v>
      </c>
      <c r="U4" s="7">
        <v>43580</v>
      </c>
      <c r="V4" s="8">
        <v>9900419194</v>
      </c>
      <c r="W4" s="9" t="s">
        <v>57</v>
      </c>
      <c r="X4" s="8" t="s">
        <v>32</v>
      </c>
      <c r="Y4" s="9" t="s">
        <v>33</v>
      </c>
      <c r="Z4" s="8" t="s">
        <v>45</v>
      </c>
      <c r="AA4" s="9" t="s">
        <v>46</v>
      </c>
      <c r="AB4" s="10">
        <f t="shared" si="0"/>
        <v>9.4821500000000003E-2</v>
      </c>
    </row>
    <row r="5" spans="1:28" s="4" customFormat="1" ht="13" x14ac:dyDescent="0.3">
      <c r="A5" s="5">
        <v>2784</v>
      </c>
      <c r="B5" s="6" t="s">
        <v>28</v>
      </c>
      <c r="C5" s="7">
        <v>43580</v>
      </c>
      <c r="D5" s="8">
        <v>78</v>
      </c>
      <c r="E5" s="9" t="s">
        <v>52</v>
      </c>
      <c r="F5" s="8" t="s">
        <v>58</v>
      </c>
      <c r="G5" s="9" t="s">
        <v>59</v>
      </c>
      <c r="H5" s="8" t="str">
        <f>"000101"</f>
        <v>000101</v>
      </c>
      <c r="I5" s="7">
        <v>42524</v>
      </c>
      <c r="J5" s="8" t="str">
        <f>"000064"</f>
        <v>000064</v>
      </c>
      <c r="K5" s="7">
        <v>42916</v>
      </c>
      <c r="L5" s="8" t="str">
        <f>"000161"</f>
        <v>000161</v>
      </c>
      <c r="M5" s="7">
        <v>42916</v>
      </c>
      <c r="N5" s="8">
        <v>16</v>
      </c>
      <c r="O5" s="8" t="str">
        <f>"000773"</f>
        <v>000773</v>
      </c>
      <c r="P5" s="7">
        <v>43578</v>
      </c>
      <c r="Q5" s="10">
        <v>19.407039999999999</v>
      </c>
      <c r="R5" s="10">
        <v>2.6353</v>
      </c>
      <c r="S5" s="10">
        <v>16.771740000000001</v>
      </c>
      <c r="T5" s="8">
        <v>28</v>
      </c>
      <c r="U5" s="7">
        <v>43580</v>
      </c>
      <c r="V5" s="8">
        <v>9740744655</v>
      </c>
      <c r="W5" s="9" t="s">
        <v>37</v>
      </c>
      <c r="X5" s="8" t="s">
        <v>38</v>
      </c>
      <c r="Y5" s="9" t="s">
        <v>39</v>
      </c>
      <c r="Z5" s="8" t="s">
        <v>45</v>
      </c>
      <c r="AA5" s="9" t="s">
        <v>46</v>
      </c>
      <c r="AB5" s="10">
        <f t="shared" si="0"/>
        <v>0.19407039999999998</v>
      </c>
    </row>
    <row r="6" spans="1:28" s="4" customFormat="1" ht="13" x14ac:dyDescent="0.3">
      <c r="A6" s="5">
        <v>2785</v>
      </c>
      <c r="B6" s="6" t="s">
        <v>28</v>
      </c>
      <c r="C6" s="7">
        <v>43581</v>
      </c>
      <c r="D6" s="8">
        <v>78</v>
      </c>
      <c r="E6" s="9" t="s">
        <v>52</v>
      </c>
      <c r="F6" s="8" t="s">
        <v>60</v>
      </c>
      <c r="G6" s="9" t="s">
        <v>61</v>
      </c>
      <c r="H6" s="8" t="str">
        <f>"000099"</f>
        <v>000099</v>
      </c>
      <c r="I6" s="7">
        <v>43369</v>
      </c>
      <c r="J6" s="8" t="str">
        <f>"000047"</f>
        <v>000047</v>
      </c>
      <c r="K6" s="7">
        <v>43369</v>
      </c>
      <c r="L6" s="8" t="str">
        <f>"000159"</f>
        <v>000159</v>
      </c>
      <c r="M6" s="7">
        <v>43372</v>
      </c>
      <c r="N6" s="8">
        <v>18</v>
      </c>
      <c r="O6" s="8" t="str">
        <f>"000935"</f>
        <v>000935</v>
      </c>
      <c r="P6" s="7">
        <v>43579</v>
      </c>
      <c r="Q6" s="10">
        <v>39.885750000000002</v>
      </c>
      <c r="R6" s="10">
        <v>1.8857999999999999</v>
      </c>
      <c r="S6" s="10">
        <v>37.999949999999998</v>
      </c>
      <c r="T6" s="8">
        <v>30</v>
      </c>
      <c r="U6" s="7">
        <v>43581</v>
      </c>
      <c r="V6" s="8">
        <v>9341246488</v>
      </c>
      <c r="W6" s="9" t="s">
        <v>47</v>
      </c>
      <c r="X6" s="8" t="s">
        <v>35</v>
      </c>
      <c r="Y6" s="9" t="s">
        <v>36</v>
      </c>
      <c r="Z6" s="8" t="s">
        <v>45</v>
      </c>
      <c r="AA6" s="9" t="s">
        <v>46</v>
      </c>
      <c r="AB6" s="10">
        <f t="shared" si="0"/>
        <v>0.39885750000000003</v>
      </c>
    </row>
    <row r="7" spans="1:28" s="4" customFormat="1" ht="13" x14ac:dyDescent="0.3">
      <c r="A7" s="5">
        <v>2786</v>
      </c>
      <c r="B7" s="6" t="s">
        <v>34</v>
      </c>
      <c r="C7" s="7">
        <v>43591</v>
      </c>
      <c r="D7" s="8">
        <v>78</v>
      </c>
      <c r="E7" s="9" t="s">
        <v>52</v>
      </c>
      <c r="F7" s="8" t="s">
        <v>77</v>
      </c>
      <c r="G7" s="9" t="s">
        <v>78</v>
      </c>
      <c r="H7" s="8" t="str">
        <f>"000007"</f>
        <v>000007</v>
      </c>
      <c r="I7" s="7">
        <v>42830</v>
      </c>
      <c r="J7" s="8" t="str">
        <f>"000041"</f>
        <v>000041</v>
      </c>
      <c r="K7" s="7">
        <v>42916</v>
      </c>
      <c r="L7" s="8" t="str">
        <f>"00129."</f>
        <v>00129.</v>
      </c>
      <c r="M7" s="7">
        <v>42916</v>
      </c>
      <c r="N7" s="8">
        <v>17</v>
      </c>
      <c r="O7" s="8" t="str">
        <f>"001212"</f>
        <v>001212</v>
      </c>
      <c r="P7" s="7">
        <v>43582</v>
      </c>
      <c r="Q7" s="10">
        <v>9.6553199999999997</v>
      </c>
      <c r="R7" s="10">
        <v>0.71150000000000002</v>
      </c>
      <c r="S7" s="10">
        <v>8.9438200000000005</v>
      </c>
      <c r="T7" s="8">
        <v>37</v>
      </c>
      <c r="U7" s="7">
        <v>43591</v>
      </c>
      <c r="V7" s="8">
        <v>9620306428</v>
      </c>
      <c r="W7" s="9" t="s">
        <v>79</v>
      </c>
      <c r="X7" s="8" t="s">
        <v>32</v>
      </c>
      <c r="Y7" s="9" t="s">
        <v>33</v>
      </c>
      <c r="Z7" s="8" t="s">
        <v>45</v>
      </c>
      <c r="AA7" s="9" t="s">
        <v>46</v>
      </c>
      <c r="AB7" s="10">
        <f t="shared" si="0"/>
        <v>9.6553199999999992E-2</v>
      </c>
    </row>
    <row r="8" spans="1:28" s="4" customFormat="1" ht="13" x14ac:dyDescent="0.3">
      <c r="A8" s="5">
        <v>2787</v>
      </c>
      <c r="B8" s="6" t="s">
        <v>34</v>
      </c>
      <c r="C8" s="7">
        <v>43603</v>
      </c>
      <c r="D8" s="8">
        <v>78</v>
      </c>
      <c r="E8" s="9" t="s">
        <v>52</v>
      </c>
      <c r="F8" s="8" t="s">
        <v>80</v>
      </c>
      <c r="G8" s="9" t="s">
        <v>81</v>
      </c>
      <c r="H8" s="8" t="str">
        <f>"000027"</f>
        <v>000027</v>
      </c>
      <c r="I8" s="7">
        <v>42986</v>
      </c>
      <c r="J8" s="8" t="str">
        <f>"000021"</f>
        <v>000021</v>
      </c>
      <c r="K8" s="7">
        <v>43005</v>
      </c>
      <c r="L8" s="8" t="str">
        <f>"000024"</f>
        <v>000024</v>
      </c>
      <c r="M8" s="7">
        <v>43005</v>
      </c>
      <c r="N8" s="8">
        <v>15</v>
      </c>
      <c r="O8" s="8" t="str">
        <f>"001740"</f>
        <v>001740</v>
      </c>
      <c r="P8" s="7">
        <v>43602</v>
      </c>
      <c r="Q8" s="10">
        <v>18.632829999999998</v>
      </c>
      <c r="R8" s="10">
        <v>0.95925000000000005</v>
      </c>
      <c r="S8" s="10">
        <v>17.673580000000001</v>
      </c>
      <c r="T8" s="8">
        <v>50</v>
      </c>
      <c r="U8" s="7">
        <v>43603</v>
      </c>
      <c r="V8" s="8">
        <v>9341260169</v>
      </c>
      <c r="W8" s="9" t="s">
        <v>82</v>
      </c>
      <c r="X8" s="8" t="s">
        <v>41</v>
      </c>
      <c r="Y8" s="9" t="s">
        <v>42</v>
      </c>
      <c r="Z8" s="8" t="s">
        <v>45</v>
      </c>
      <c r="AA8" s="9" t="s">
        <v>46</v>
      </c>
      <c r="AB8" s="10">
        <f t="shared" si="0"/>
        <v>0.18632829999999997</v>
      </c>
    </row>
    <row r="9" spans="1:28" s="4" customFormat="1" ht="13" x14ac:dyDescent="0.3">
      <c r="A9" s="5">
        <v>2788</v>
      </c>
      <c r="B9" s="6" t="s">
        <v>34</v>
      </c>
      <c r="C9" s="7">
        <v>43609</v>
      </c>
      <c r="D9" s="8">
        <v>78</v>
      </c>
      <c r="E9" s="9" t="s">
        <v>52</v>
      </c>
      <c r="F9" s="8" t="s">
        <v>83</v>
      </c>
      <c r="G9" s="9" t="s">
        <v>84</v>
      </c>
      <c r="H9" s="8" t="str">
        <f>"000049"</f>
        <v>000049</v>
      </c>
      <c r="I9" s="7">
        <v>42986</v>
      </c>
      <c r="J9" s="8" t="str">
        <f>"000026"</f>
        <v>000026</v>
      </c>
      <c r="K9" s="7">
        <v>43039</v>
      </c>
      <c r="L9" s="8" t="str">
        <f>"000038"</f>
        <v>000038</v>
      </c>
      <c r="M9" s="7">
        <v>43039</v>
      </c>
      <c r="N9" s="8">
        <v>15</v>
      </c>
      <c r="O9" s="8" t="str">
        <f>"002003"</f>
        <v>002003</v>
      </c>
      <c r="P9" s="7">
        <v>43607</v>
      </c>
      <c r="Q9" s="10">
        <v>21.80312</v>
      </c>
      <c r="R9" s="10">
        <v>1.33972</v>
      </c>
      <c r="S9" s="10">
        <v>20.4634</v>
      </c>
      <c r="T9" s="8">
        <v>57</v>
      </c>
      <c r="U9" s="7">
        <v>43609</v>
      </c>
      <c r="V9" s="8">
        <v>9845030601</v>
      </c>
      <c r="W9" s="9" t="s">
        <v>51</v>
      </c>
      <c r="X9" s="8" t="s">
        <v>41</v>
      </c>
      <c r="Y9" s="9" t="s">
        <v>42</v>
      </c>
      <c r="Z9" s="8" t="s">
        <v>45</v>
      </c>
      <c r="AA9" s="9" t="s">
        <v>46</v>
      </c>
      <c r="AB9" s="10">
        <f t="shared" si="0"/>
        <v>0.21803120000000001</v>
      </c>
    </row>
    <row r="10" spans="1:28" s="4" customFormat="1" ht="13" x14ac:dyDescent="0.3">
      <c r="A10" s="5">
        <v>2789</v>
      </c>
      <c r="B10" s="6" t="s">
        <v>34</v>
      </c>
      <c r="C10" s="7">
        <v>43609</v>
      </c>
      <c r="D10" s="8">
        <v>78</v>
      </c>
      <c r="E10" s="9" t="s">
        <v>52</v>
      </c>
      <c r="F10" s="8" t="s">
        <v>85</v>
      </c>
      <c r="G10" s="9" t="s">
        <v>86</v>
      </c>
      <c r="H10" s="8" t="str">
        <f>"000047"</f>
        <v>000047</v>
      </c>
      <c r="I10" s="7">
        <v>42986</v>
      </c>
      <c r="J10" s="8" t="str">
        <f>"000027"</f>
        <v>000027</v>
      </c>
      <c r="K10" s="7">
        <v>43039</v>
      </c>
      <c r="L10" s="8" t="str">
        <f>"000039"</f>
        <v>000039</v>
      </c>
      <c r="M10" s="7">
        <v>43039</v>
      </c>
      <c r="N10" s="8">
        <v>15</v>
      </c>
      <c r="O10" s="8" t="str">
        <f>"002005"</f>
        <v>002005</v>
      </c>
      <c r="P10" s="7">
        <v>43607</v>
      </c>
      <c r="Q10" s="10">
        <v>22.082439999999998</v>
      </c>
      <c r="R10" s="10">
        <v>1.1306799999999999</v>
      </c>
      <c r="S10" s="10">
        <v>20.95176</v>
      </c>
      <c r="T10" s="8">
        <v>57</v>
      </c>
      <c r="U10" s="7">
        <v>43609</v>
      </c>
      <c r="V10" s="8">
        <v>9845030601</v>
      </c>
      <c r="W10" s="9" t="s">
        <v>51</v>
      </c>
      <c r="X10" s="8" t="s">
        <v>41</v>
      </c>
      <c r="Y10" s="9" t="s">
        <v>42</v>
      </c>
      <c r="Z10" s="8" t="s">
        <v>45</v>
      </c>
      <c r="AA10" s="9" t="s">
        <v>46</v>
      </c>
      <c r="AB10" s="10">
        <f t="shared" si="0"/>
        <v>0.22082439999999998</v>
      </c>
    </row>
    <row r="11" spans="1:28" s="4" customFormat="1" ht="13" x14ac:dyDescent="0.3">
      <c r="A11" s="5">
        <v>2790</v>
      </c>
      <c r="B11" s="6" t="s">
        <v>34</v>
      </c>
      <c r="C11" s="7">
        <v>43615</v>
      </c>
      <c r="D11" s="8">
        <v>78</v>
      </c>
      <c r="E11" s="9" t="s">
        <v>52</v>
      </c>
      <c r="F11" s="8" t="s">
        <v>87</v>
      </c>
      <c r="G11" s="9" t="s">
        <v>88</v>
      </c>
      <c r="H11" s="8" t="str">
        <f>"000066"</f>
        <v>000066</v>
      </c>
      <c r="I11" s="7">
        <v>43003</v>
      </c>
      <c r="J11" s="8" t="str">
        <f>"000034"</f>
        <v>000034</v>
      </c>
      <c r="K11" s="7">
        <v>43069</v>
      </c>
      <c r="L11" s="8" t="str">
        <f>"000049"</f>
        <v>000049</v>
      </c>
      <c r="M11" s="7">
        <v>43069</v>
      </c>
      <c r="N11" s="8">
        <v>17</v>
      </c>
      <c r="O11" s="8" t="str">
        <f>"002228"</f>
        <v>002228</v>
      </c>
      <c r="P11" s="7">
        <v>43613</v>
      </c>
      <c r="Q11" s="10">
        <v>18.718450000000001</v>
      </c>
      <c r="R11" s="10">
        <v>0.98404999999999998</v>
      </c>
      <c r="S11" s="10">
        <v>17.734400000000001</v>
      </c>
      <c r="T11" s="8">
        <v>65</v>
      </c>
      <c r="U11" s="7">
        <v>43615</v>
      </c>
      <c r="V11" s="8">
        <v>9341260169</v>
      </c>
      <c r="W11" s="9" t="s">
        <v>82</v>
      </c>
      <c r="X11" s="8" t="s">
        <v>48</v>
      </c>
      <c r="Y11" s="9" t="s">
        <v>49</v>
      </c>
      <c r="Z11" s="8" t="s">
        <v>45</v>
      </c>
      <c r="AA11" s="9" t="s">
        <v>46</v>
      </c>
      <c r="AB11" s="10">
        <f t="shared" si="0"/>
        <v>0.1871845</v>
      </c>
    </row>
    <row r="12" spans="1:28" s="4" customFormat="1" ht="13" x14ac:dyDescent="0.3">
      <c r="A12" s="5">
        <v>2791</v>
      </c>
      <c r="B12" s="6" t="s">
        <v>34</v>
      </c>
      <c r="C12" s="7">
        <v>43615</v>
      </c>
      <c r="D12" s="8">
        <v>78</v>
      </c>
      <c r="E12" s="9" t="s">
        <v>52</v>
      </c>
      <c r="F12" s="8" t="s">
        <v>89</v>
      </c>
      <c r="G12" s="9" t="s">
        <v>90</v>
      </c>
      <c r="H12" s="8" t="str">
        <f>"000063"</f>
        <v>000063</v>
      </c>
      <c r="I12" s="7">
        <v>43003</v>
      </c>
      <c r="J12" s="8" t="str">
        <f>"000033"</f>
        <v>000033</v>
      </c>
      <c r="K12" s="7">
        <v>43069</v>
      </c>
      <c r="L12" s="8" t="str">
        <f>"000050"</f>
        <v>000050</v>
      </c>
      <c r="M12" s="7">
        <v>43069</v>
      </c>
      <c r="N12" s="8">
        <v>17</v>
      </c>
      <c r="O12" s="8" t="str">
        <f>"002229"</f>
        <v>002229</v>
      </c>
      <c r="P12" s="7">
        <v>43613</v>
      </c>
      <c r="Q12" s="10">
        <v>19.32648</v>
      </c>
      <c r="R12" s="10">
        <v>1.00905</v>
      </c>
      <c r="S12" s="10">
        <v>18.317430000000002</v>
      </c>
      <c r="T12" s="8">
        <v>65</v>
      </c>
      <c r="U12" s="7">
        <v>43615</v>
      </c>
      <c r="V12" s="8">
        <v>9341260169</v>
      </c>
      <c r="W12" s="9" t="s">
        <v>82</v>
      </c>
      <c r="X12" s="8" t="s">
        <v>48</v>
      </c>
      <c r="Y12" s="9" t="s">
        <v>49</v>
      </c>
      <c r="Z12" s="8" t="s">
        <v>45</v>
      </c>
      <c r="AA12" s="9" t="s">
        <v>46</v>
      </c>
      <c r="AB12" s="10">
        <f t="shared" si="0"/>
        <v>0.19326480000000001</v>
      </c>
    </row>
    <row r="13" spans="1:28" s="4" customFormat="1" ht="13" x14ac:dyDescent="0.3">
      <c r="A13" s="5">
        <v>2792</v>
      </c>
      <c r="B13" s="6" t="s">
        <v>34</v>
      </c>
      <c r="C13" s="7">
        <v>43615</v>
      </c>
      <c r="D13" s="8">
        <v>78</v>
      </c>
      <c r="E13" s="9" t="s">
        <v>52</v>
      </c>
      <c r="F13" s="8" t="s">
        <v>91</v>
      </c>
      <c r="G13" s="9" t="s">
        <v>92</v>
      </c>
      <c r="H13" s="8" t="str">
        <f>"000064"</f>
        <v>000064</v>
      </c>
      <c r="I13" s="7">
        <v>43003</v>
      </c>
      <c r="J13" s="8" t="str">
        <f>"000032"</f>
        <v>000032</v>
      </c>
      <c r="K13" s="7">
        <v>43069</v>
      </c>
      <c r="L13" s="8" t="str">
        <f>"000051"</f>
        <v>000051</v>
      </c>
      <c r="M13" s="7">
        <v>43069</v>
      </c>
      <c r="N13" s="8">
        <v>17</v>
      </c>
      <c r="O13" s="8" t="str">
        <f>"002230"</f>
        <v>002230</v>
      </c>
      <c r="P13" s="7">
        <v>43613</v>
      </c>
      <c r="Q13" s="10">
        <v>19.313580000000002</v>
      </c>
      <c r="R13" s="10">
        <v>0.99595</v>
      </c>
      <c r="S13" s="10">
        <v>18.317630000000001</v>
      </c>
      <c r="T13" s="8">
        <v>65</v>
      </c>
      <c r="U13" s="7">
        <v>43615</v>
      </c>
      <c r="V13" s="8">
        <v>9341260169</v>
      </c>
      <c r="W13" s="9" t="s">
        <v>82</v>
      </c>
      <c r="X13" s="8" t="s">
        <v>48</v>
      </c>
      <c r="Y13" s="9" t="s">
        <v>49</v>
      </c>
      <c r="Z13" s="8" t="s">
        <v>45</v>
      </c>
      <c r="AA13" s="9" t="s">
        <v>46</v>
      </c>
      <c r="AB13" s="10">
        <f t="shared" si="0"/>
        <v>0.19313580000000002</v>
      </c>
    </row>
    <row r="14" spans="1:28" s="4" customFormat="1" ht="13" x14ac:dyDescent="0.3">
      <c r="A14" s="5">
        <v>2793</v>
      </c>
      <c r="B14" s="6" t="s">
        <v>34</v>
      </c>
      <c r="C14" s="7">
        <v>43615</v>
      </c>
      <c r="D14" s="8">
        <v>78</v>
      </c>
      <c r="E14" s="9" t="s">
        <v>52</v>
      </c>
      <c r="F14" s="8" t="s">
        <v>93</v>
      </c>
      <c r="G14" s="9" t="s">
        <v>94</v>
      </c>
      <c r="H14" s="8" t="str">
        <f>"000065"</f>
        <v>000065</v>
      </c>
      <c r="I14" s="7">
        <v>43003</v>
      </c>
      <c r="J14" s="8" t="str">
        <f>"000031"</f>
        <v>000031</v>
      </c>
      <c r="K14" s="7">
        <v>43069</v>
      </c>
      <c r="L14" s="8" t="str">
        <f>"000052"</f>
        <v>000052</v>
      </c>
      <c r="M14" s="7">
        <v>43069</v>
      </c>
      <c r="N14" s="8">
        <v>17</v>
      </c>
      <c r="O14" s="8" t="str">
        <f>"002231"</f>
        <v>002231</v>
      </c>
      <c r="P14" s="7">
        <v>43613</v>
      </c>
      <c r="Q14" s="10">
        <v>18.737189999999998</v>
      </c>
      <c r="R14" s="10">
        <v>0.97275</v>
      </c>
      <c r="S14" s="10">
        <v>17.76444</v>
      </c>
      <c r="T14" s="8">
        <v>65</v>
      </c>
      <c r="U14" s="7">
        <v>43615</v>
      </c>
      <c r="V14" s="8">
        <v>9341260169</v>
      </c>
      <c r="W14" s="9" t="s">
        <v>82</v>
      </c>
      <c r="X14" s="8" t="s">
        <v>48</v>
      </c>
      <c r="Y14" s="9" t="s">
        <v>49</v>
      </c>
      <c r="Z14" s="8" t="s">
        <v>45</v>
      </c>
      <c r="AA14" s="9" t="s">
        <v>46</v>
      </c>
      <c r="AB14" s="10">
        <f t="shared" si="0"/>
        <v>0.18737189999999998</v>
      </c>
    </row>
    <row r="15" spans="1:28" s="4" customFormat="1" ht="13" x14ac:dyDescent="0.3">
      <c r="A15" s="5">
        <v>2794</v>
      </c>
      <c r="B15" s="6" t="s">
        <v>31</v>
      </c>
      <c r="C15" s="7">
        <v>43622</v>
      </c>
      <c r="D15" s="8">
        <v>78</v>
      </c>
      <c r="E15" s="9" t="s">
        <v>52</v>
      </c>
      <c r="F15" s="8" t="s">
        <v>62</v>
      </c>
      <c r="G15" s="9" t="s">
        <v>63</v>
      </c>
      <c r="H15" s="8" t="str">
        <f>"000275"</f>
        <v>000275</v>
      </c>
      <c r="I15" s="7">
        <v>43472</v>
      </c>
      <c r="J15" s="8" t="str">
        <f>"000166"</f>
        <v>000166</v>
      </c>
      <c r="K15" s="7">
        <v>43538</v>
      </c>
      <c r="L15" s="8" t="str">
        <f>"000361"</f>
        <v>000361</v>
      </c>
      <c r="M15" s="7">
        <v>43539</v>
      </c>
      <c r="N15" s="8">
        <v>18</v>
      </c>
      <c r="O15" s="8" t="str">
        <f>"002316"</f>
        <v>002316</v>
      </c>
      <c r="P15" s="7">
        <v>43615</v>
      </c>
      <c r="Q15" s="10">
        <v>42.08466</v>
      </c>
      <c r="R15" s="10">
        <v>2.3035199999999998</v>
      </c>
      <c r="S15" s="10">
        <v>39.781140000000001</v>
      </c>
      <c r="T15" s="8">
        <v>70</v>
      </c>
      <c r="U15" s="7">
        <v>43622</v>
      </c>
      <c r="V15" s="8">
        <v>9448853642</v>
      </c>
      <c r="W15" s="9" t="s">
        <v>64</v>
      </c>
      <c r="X15" s="8" t="s">
        <v>35</v>
      </c>
      <c r="Y15" s="9" t="s">
        <v>36</v>
      </c>
      <c r="Z15" s="8" t="s">
        <v>45</v>
      </c>
      <c r="AA15" s="9" t="s">
        <v>46</v>
      </c>
      <c r="AB15" s="10">
        <v>0.42084660000000002</v>
      </c>
    </row>
    <row r="16" spans="1:28" s="4" customFormat="1" ht="13" x14ac:dyDescent="0.3">
      <c r="A16" s="5">
        <v>2795</v>
      </c>
      <c r="B16" s="6" t="s">
        <v>31</v>
      </c>
      <c r="C16" s="7">
        <v>43634</v>
      </c>
      <c r="D16" s="8">
        <v>78</v>
      </c>
      <c r="E16" s="9" t="s">
        <v>52</v>
      </c>
      <c r="F16" s="8" t="s">
        <v>65</v>
      </c>
      <c r="G16" s="9" t="s">
        <v>66</v>
      </c>
      <c r="H16" s="8" t="str">
        <f>"000237"</f>
        <v>000237</v>
      </c>
      <c r="I16" s="7">
        <v>42809</v>
      </c>
      <c r="J16" s="8" t="str">
        <f>"000015"</f>
        <v>000015</v>
      </c>
      <c r="K16" s="7">
        <v>42993</v>
      </c>
      <c r="L16" s="8" t="str">
        <f>"000213"</f>
        <v>000213</v>
      </c>
      <c r="M16" s="7">
        <v>43073</v>
      </c>
      <c r="N16" s="8">
        <v>17</v>
      </c>
      <c r="O16" s="8" t="str">
        <f>"002687"</f>
        <v>002687</v>
      </c>
      <c r="P16" s="7">
        <v>43628</v>
      </c>
      <c r="Q16" s="10">
        <v>9.7333999999999996</v>
      </c>
      <c r="R16" s="10">
        <v>0.80079999999999996</v>
      </c>
      <c r="S16" s="10">
        <v>8.9326000000000008</v>
      </c>
      <c r="T16" s="8">
        <v>88</v>
      </c>
      <c r="U16" s="7">
        <v>43634</v>
      </c>
      <c r="V16" s="8">
        <v>9845843173</v>
      </c>
      <c r="W16" s="9" t="s">
        <v>67</v>
      </c>
      <c r="X16" s="8" t="s">
        <v>32</v>
      </c>
      <c r="Y16" s="9" t="s">
        <v>33</v>
      </c>
      <c r="Z16" s="8" t="s">
        <v>45</v>
      </c>
      <c r="AA16" s="9" t="s">
        <v>46</v>
      </c>
      <c r="AB16" s="10">
        <v>9.733399999999999E-2</v>
      </c>
    </row>
    <row r="17" spans="1:28" s="4" customFormat="1" ht="13" x14ac:dyDescent="0.3">
      <c r="A17" s="5">
        <v>2796</v>
      </c>
      <c r="B17" s="6" t="s">
        <v>31</v>
      </c>
      <c r="C17" s="7">
        <v>43636</v>
      </c>
      <c r="D17" s="8">
        <v>78</v>
      </c>
      <c r="E17" s="9" t="s">
        <v>52</v>
      </c>
      <c r="F17" s="8" t="s">
        <v>68</v>
      </c>
      <c r="G17" s="9" t="s">
        <v>69</v>
      </c>
      <c r="H17" s="8" t="str">
        <f>"000001"</f>
        <v>000001</v>
      </c>
      <c r="I17" s="7">
        <v>42828</v>
      </c>
      <c r="J17" s="8" t="str">
        <f>"000025"</f>
        <v>000025</v>
      </c>
      <c r="K17" s="7">
        <v>43018</v>
      </c>
      <c r="L17" s="8" t="str">
        <f>"000035"</f>
        <v>000035</v>
      </c>
      <c r="M17" s="7">
        <v>43020</v>
      </c>
      <c r="N17" s="8">
        <v>17</v>
      </c>
      <c r="O17" s="8" t="str">
        <f>"002799"</f>
        <v>002799</v>
      </c>
      <c r="P17" s="7">
        <v>43633</v>
      </c>
      <c r="Q17" s="10">
        <v>9.9839000000000002</v>
      </c>
      <c r="R17" s="10">
        <v>0.50900000000000001</v>
      </c>
      <c r="S17" s="10">
        <v>9.4748999999999999</v>
      </c>
      <c r="T17" s="8">
        <v>89</v>
      </c>
      <c r="U17" s="7">
        <v>43636</v>
      </c>
      <c r="V17" s="8">
        <v>9035660123</v>
      </c>
      <c r="W17" s="9" t="s">
        <v>70</v>
      </c>
      <c r="X17" s="8" t="s">
        <v>32</v>
      </c>
      <c r="Y17" s="9" t="s">
        <v>33</v>
      </c>
      <c r="Z17" s="8" t="s">
        <v>45</v>
      </c>
      <c r="AA17" s="9" t="s">
        <v>46</v>
      </c>
      <c r="AB17" s="10">
        <v>9.9838999999999997E-2</v>
      </c>
    </row>
    <row r="18" spans="1:28" s="4" customFormat="1" ht="13" x14ac:dyDescent="0.3">
      <c r="A18" s="5">
        <v>2797</v>
      </c>
      <c r="B18" s="6" t="s">
        <v>31</v>
      </c>
      <c r="C18" s="7">
        <v>43636</v>
      </c>
      <c r="D18" s="8">
        <v>78</v>
      </c>
      <c r="E18" s="9" t="s">
        <v>52</v>
      </c>
      <c r="F18" s="8" t="s">
        <v>71</v>
      </c>
      <c r="G18" s="9" t="s">
        <v>72</v>
      </c>
      <c r="H18" s="8" t="str">
        <f>"000240"</f>
        <v>000240</v>
      </c>
      <c r="I18" s="7">
        <v>43432</v>
      </c>
      <c r="J18" s="8" t="str">
        <f>"000169"</f>
        <v>000169</v>
      </c>
      <c r="K18" s="7">
        <v>43553</v>
      </c>
      <c r="L18" s="8" t="str">
        <f>"000004"</f>
        <v>000004</v>
      </c>
      <c r="M18" s="7">
        <v>43566</v>
      </c>
      <c r="N18" s="8">
        <v>19</v>
      </c>
      <c r="O18" s="8" t="str">
        <f>"002813"</f>
        <v>002813</v>
      </c>
      <c r="P18" s="7">
        <v>43633</v>
      </c>
      <c r="Q18" s="10">
        <v>49.78669</v>
      </c>
      <c r="R18" s="10">
        <v>5.2141799999999998</v>
      </c>
      <c r="S18" s="10">
        <v>44.572510000000001</v>
      </c>
      <c r="T18" s="8">
        <v>90</v>
      </c>
      <c r="U18" s="7">
        <v>43636</v>
      </c>
      <c r="V18" s="8">
        <v>9844118540</v>
      </c>
      <c r="W18" s="9" t="s">
        <v>40</v>
      </c>
      <c r="X18" s="8" t="s">
        <v>35</v>
      </c>
      <c r="Y18" s="9" t="s">
        <v>36</v>
      </c>
      <c r="Z18" s="8" t="s">
        <v>45</v>
      </c>
      <c r="AA18" s="9" t="s">
        <v>46</v>
      </c>
      <c r="AB18" s="10">
        <v>0.4978669</v>
      </c>
    </row>
    <row r="19" spans="1:28" s="4" customFormat="1" ht="13" x14ac:dyDescent="0.3">
      <c r="A19" s="5">
        <v>2798</v>
      </c>
      <c r="B19" s="6" t="s">
        <v>31</v>
      </c>
      <c r="C19" s="7">
        <v>43636</v>
      </c>
      <c r="D19" s="8">
        <v>78</v>
      </c>
      <c r="E19" s="9" t="s">
        <v>52</v>
      </c>
      <c r="F19" s="8" t="s">
        <v>73</v>
      </c>
      <c r="G19" s="9" t="s">
        <v>74</v>
      </c>
      <c r="H19" s="8" t="str">
        <f>"000241"</f>
        <v>000241</v>
      </c>
      <c r="I19" s="7">
        <v>43432</v>
      </c>
      <c r="J19" s="8" t="str">
        <f>"000170"</f>
        <v>000170</v>
      </c>
      <c r="K19" s="7">
        <v>43553</v>
      </c>
      <c r="L19" s="8" t="str">
        <f>"000003"</f>
        <v>000003</v>
      </c>
      <c r="M19" s="7">
        <v>43566</v>
      </c>
      <c r="N19" s="8">
        <v>19</v>
      </c>
      <c r="O19" s="8" t="str">
        <f>"002814"</f>
        <v>002814</v>
      </c>
      <c r="P19" s="7">
        <v>43633</v>
      </c>
      <c r="Q19" s="10">
        <v>49.770589999999999</v>
      </c>
      <c r="R19" s="10">
        <v>5.2141799999999998</v>
      </c>
      <c r="S19" s="10">
        <v>44.55641</v>
      </c>
      <c r="T19" s="8">
        <v>90</v>
      </c>
      <c r="U19" s="7">
        <v>43636</v>
      </c>
      <c r="V19" s="8">
        <v>9844118540</v>
      </c>
      <c r="W19" s="9" t="s">
        <v>40</v>
      </c>
      <c r="X19" s="8" t="s">
        <v>35</v>
      </c>
      <c r="Y19" s="9" t="s">
        <v>36</v>
      </c>
      <c r="Z19" s="8" t="s">
        <v>45</v>
      </c>
      <c r="AA19" s="9" t="s">
        <v>46</v>
      </c>
      <c r="AB19" s="10">
        <v>0.49770589999999998</v>
      </c>
    </row>
    <row r="20" spans="1:28" s="4" customFormat="1" ht="13" x14ac:dyDescent="0.3">
      <c r="A20" s="5">
        <v>2799</v>
      </c>
      <c r="B20" s="6" t="s">
        <v>31</v>
      </c>
      <c r="C20" s="7">
        <v>43636</v>
      </c>
      <c r="D20" s="8">
        <v>78</v>
      </c>
      <c r="E20" s="9" t="s">
        <v>52</v>
      </c>
      <c r="F20" s="8" t="s">
        <v>75</v>
      </c>
      <c r="G20" s="9" t="s">
        <v>76</v>
      </c>
      <c r="H20" s="8" t="str">
        <f>"000242"</f>
        <v>000242</v>
      </c>
      <c r="I20" s="7">
        <v>43432</v>
      </c>
      <c r="J20" s="8" t="str">
        <f>"000171"</f>
        <v>000171</v>
      </c>
      <c r="K20" s="7">
        <v>43553</v>
      </c>
      <c r="L20" s="8" t="str">
        <f>"000002"</f>
        <v>000002</v>
      </c>
      <c r="M20" s="7">
        <v>43566</v>
      </c>
      <c r="N20" s="8">
        <v>19</v>
      </c>
      <c r="O20" s="8" t="str">
        <f>"002815"</f>
        <v>002815</v>
      </c>
      <c r="P20" s="7">
        <v>43633</v>
      </c>
      <c r="Q20" s="10">
        <v>49.780230000000003</v>
      </c>
      <c r="R20" s="10">
        <v>5.1275000000000004</v>
      </c>
      <c r="S20" s="10">
        <v>44.652729999999998</v>
      </c>
      <c r="T20" s="8">
        <v>90</v>
      </c>
      <c r="U20" s="7">
        <v>43636</v>
      </c>
      <c r="V20" s="8">
        <v>9844118540</v>
      </c>
      <c r="W20" s="9" t="s">
        <v>40</v>
      </c>
      <c r="X20" s="8" t="s">
        <v>35</v>
      </c>
      <c r="Y20" s="9" t="s">
        <v>36</v>
      </c>
      <c r="Z20" s="8" t="s">
        <v>45</v>
      </c>
      <c r="AA20" s="9" t="s">
        <v>46</v>
      </c>
      <c r="AB20" s="10">
        <v>0.49780230000000003</v>
      </c>
    </row>
    <row r="21" spans="1:28" s="4" customFormat="1" ht="13" x14ac:dyDescent="0.3">
      <c r="A21" s="5">
        <v>2800</v>
      </c>
      <c r="B21" s="6" t="s">
        <v>95</v>
      </c>
      <c r="C21" s="7">
        <v>43647</v>
      </c>
      <c r="D21" s="8">
        <v>78</v>
      </c>
      <c r="E21" s="9" t="s">
        <v>52</v>
      </c>
      <c r="F21" s="8" t="s">
        <v>96</v>
      </c>
      <c r="G21" s="11" t="s">
        <v>97</v>
      </c>
      <c r="H21" s="8" t="str">
        <f>"000156"</f>
        <v>000156</v>
      </c>
      <c r="I21" s="7">
        <v>43089</v>
      </c>
      <c r="J21" s="8" t="str">
        <f>"000053"</f>
        <v>000053</v>
      </c>
      <c r="K21" s="7">
        <v>43111</v>
      </c>
      <c r="L21" s="8" t="str">
        <f>"000098"</f>
        <v>000098</v>
      </c>
      <c r="M21" s="7">
        <v>43111</v>
      </c>
      <c r="N21" s="8">
        <v>17</v>
      </c>
      <c r="O21" s="8" t="str">
        <f>"003035"</f>
        <v>003035</v>
      </c>
      <c r="P21" s="7">
        <v>43640</v>
      </c>
      <c r="Q21" s="12">
        <v>45.194960000000002</v>
      </c>
      <c r="R21" s="12">
        <v>1.85669</v>
      </c>
      <c r="S21" s="12">
        <v>43.338270000000001</v>
      </c>
      <c r="T21" s="8">
        <v>96</v>
      </c>
      <c r="U21" s="7">
        <v>43647</v>
      </c>
      <c r="V21" s="8">
        <v>9448853642</v>
      </c>
      <c r="W21" s="11" t="s">
        <v>98</v>
      </c>
      <c r="X21" s="8" t="s">
        <v>99</v>
      </c>
      <c r="Y21" s="11" t="s">
        <v>100</v>
      </c>
      <c r="Z21" s="8" t="s">
        <v>45</v>
      </c>
      <c r="AA21" s="11" t="s">
        <v>46</v>
      </c>
      <c r="AB21" s="12">
        <f t="shared" ref="AB21:AB38" si="1">Q21/100</f>
        <v>0.45194960000000001</v>
      </c>
    </row>
    <row r="22" spans="1:28" s="4" customFormat="1" ht="13" x14ac:dyDescent="0.3">
      <c r="A22" s="5">
        <v>2801</v>
      </c>
      <c r="B22" s="6" t="s">
        <v>95</v>
      </c>
      <c r="C22" s="7">
        <v>43647</v>
      </c>
      <c r="D22" s="8">
        <v>78</v>
      </c>
      <c r="E22" s="9" t="s">
        <v>52</v>
      </c>
      <c r="F22" s="8" t="s">
        <v>101</v>
      </c>
      <c r="G22" s="11" t="s">
        <v>102</v>
      </c>
      <c r="H22" s="8" t="str">
        <f>"000100"</f>
        <v>000100</v>
      </c>
      <c r="I22" s="7">
        <v>42524</v>
      </c>
      <c r="J22" s="8" t="str">
        <f>"000052"</f>
        <v>000052</v>
      </c>
      <c r="K22" s="7">
        <v>43110</v>
      </c>
      <c r="L22" s="8" t="str">
        <f>"000099"</f>
        <v>000099</v>
      </c>
      <c r="M22" s="7">
        <v>43112</v>
      </c>
      <c r="N22" s="8">
        <v>16</v>
      </c>
      <c r="O22" s="8" t="str">
        <f>"003056"</f>
        <v>003056</v>
      </c>
      <c r="P22" s="7">
        <v>43640</v>
      </c>
      <c r="Q22" s="12">
        <v>19.735199999999999</v>
      </c>
      <c r="R22" s="12">
        <v>1.0521499999999999</v>
      </c>
      <c r="S22" s="12">
        <v>18.683050000000001</v>
      </c>
      <c r="T22" s="8">
        <v>96</v>
      </c>
      <c r="U22" s="7">
        <v>43647</v>
      </c>
      <c r="V22" s="8">
        <v>9740744655</v>
      </c>
      <c r="W22" s="11" t="s">
        <v>47</v>
      </c>
      <c r="X22" s="8" t="s">
        <v>38</v>
      </c>
      <c r="Y22" s="11" t="s">
        <v>39</v>
      </c>
      <c r="Z22" s="8" t="s">
        <v>45</v>
      </c>
      <c r="AA22" s="11" t="s">
        <v>46</v>
      </c>
      <c r="AB22" s="12">
        <f t="shared" si="1"/>
        <v>0.197352</v>
      </c>
    </row>
    <row r="23" spans="1:28" s="4" customFormat="1" ht="13" x14ac:dyDescent="0.3">
      <c r="A23" s="5">
        <v>2802</v>
      </c>
      <c r="B23" s="6" t="s">
        <v>95</v>
      </c>
      <c r="C23" s="7">
        <v>43648</v>
      </c>
      <c r="D23" s="8">
        <v>78</v>
      </c>
      <c r="E23" s="9" t="s">
        <v>52</v>
      </c>
      <c r="F23" s="8" t="s">
        <v>103</v>
      </c>
      <c r="G23" s="11" t="s">
        <v>104</v>
      </c>
      <c r="H23" s="8" t="str">
        <f>"000184"</f>
        <v>000184</v>
      </c>
      <c r="I23" s="7">
        <v>43286</v>
      </c>
      <c r="J23" s="8" t="str">
        <f>"000067"</f>
        <v>000067</v>
      </c>
      <c r="K23" s="7">
        <v>43286</v>
      </c>
      <c r="L23" s="8" t="str">
        <f>"000065"</f>
        <v>000065</v>
      </c>
      <c r="M23" s="7">
        <v>43288</v>
      </c>
      <c r="N23" s="8">
        <v>17</v>
      </c>
      <c r="O23" s="8" t="str">
        <f>"002916"</f>
        <v>002916</v>
      </c>
      <c r="P23" s="7">
        <v>43637</v>
      </c>
      <c r="Q23" s="12">
        <v>1.7746599999999999</v>
      </c>
      <c r="R23" s="12">
        <v>9.11E-2</v>
      </c>
      <c r="S23" s="12">
        <v>1.6835599999999999</v>
      </c>
      <c r="T23" s="8">
        <v>103</v>
      </c>
      <c r="U23" s="7">
        <v>43648</v>
      </c>
      <c r="V23" s="8">
        <v>9880795895</v>
      </c>
      <c r="W23" s="11" t="s">
        <v>105</v>
      </c>
      <c r="X23" s="8" t="s">
        <v>106</v>
      </c>
      <c r="Y23" s="11" t="s">
        <v>107</v>
      </c>
      <c r="Z23" s="8" t="s">
        <v>43</v>
      </c>
      <c r="AA23" s="11" t="s">
        <v>44</v>
      </c>
      <c r="AB23" s="12">
        <f t="shared" si="1"/>
        <v>1.7746599999999998E-2</v>
      </c>
    </row>
    <row r="24" spans="1:28" s="4" customFormat="1" ht="13" x14ac:dyDescent="0.3">
      <c r="A24" s="5">
        <v>2803</v>
      </c>
      <c r="B24" s="6" t="s">
        <v>95</v>
      </c>
      <c r="C24" s="7">
        <v>43654</v>
      </c>
      <c r="D24" s="8">
        <v>78</v>
      </c>
      <c r="E24" s="9" t="s">
        <v>52</v>
      </c>
      <c r="F24" s="8" t="s">
        <v>53</v>
      </c>
      <c r="G24" s="11" t="s">
        <v>54</v>
      </c>
      <c r="H24" s="8" t="str">
        <f>"000024"</f>
        <v>000024</v>
      </c>
      <c r="I24" s="7">
        <v>42947</v>
      </c>
      <c r="J24" s="8" t="str">
        <f>"000071"</f>
        <v>000071</v>
      </c>
      <c r="K24" s="7">
        <v>43693</v>
      </c>
      <c r="L24" s="8" t="str">
        <f>"000071"</f>
        <v>000071</v>
      </c>
      <c r="M24" s="7">
        <v>43693</v>
      </c>
      <c r="N24" s="8">
        <v>16</v>
      </c>
      <c r="O24" s="8" t="str">
        <f>"004895"</f>
        <v>004895</v>
      </c>
      <c r="P24" s="7">
        <v>43711</v>
      </c>
      <c r="Q24" s="12">
        <v>6.2976200000000002</v>
      </c>
      <c r="R24" s="12">
        <v>0.93040999999999996</v>
      </c>
      <c r="S24" s="12">
        <v>5.36721</v>
      </c>
      <c r="T24" s="8">
        <v>109</v>
      </c>
      <c r="U24" s="7">
        <v>43654</v>
      </c>
      <c r="V24" s="8">
        <v>9845860866</v>
      </c>
      <c r="W24" s="11" t="s">
        <v>50</v>
      </c>
      <c r="X24" s="8" t="s">
        <v>29</v>
      </c>
      <c r="Y24" s="11" t="s">
        <v>30</v>
      </c>
      <c r="Z24" s="8" t="s">
        <v>43</v>
      </c>
      <c r="AA24" s="11" t="s">
        <v>44</v>
      </c>
      <c r="AB24" s="12">
        <f t="shared" si="1"/>
        <v>6.2976199999999996E-2</v>
      </c>
    </row>
    <row r="25" spans="1:28" s="4" customFormat="1" ht="13" x14ac:dyDescent="0.3">
      <c r="A25" s="5">
        <v>2804</v>
      </c>
      <c r="B25" s="6" t="s">
        <v>95</v>
      </c>
      <c r="C25" s="7">
        <v>43668</v>
      </c>
      <c r="D25" s="8">
        <v>78</v>
      </c>
      <c r="E25" s="9" t="s">
        <v>52</v>
      </c>
      <c r="F25" s="8" t="s">
        <v>108</v>
      </c>
      <c r="G25" s="11" t="s">
        <v>109</v>
      </c>
      <c r="H25" s="8" t="str">
        <f>"000378"</f>
        <v>000378</v>
      </c>
      <c r="I25" s="7">
        <v>41701</v>
      </c>
      <c r="J25" s="8" t="str">
        <f>"000056"</f>
        <v>000056</v>
      </c>
      <c r="K25" s="7">
        <v>42448</v>
      </c>
      <c r="L25" s="8" t="str">
        <f>"000259"</f>
        <v>000259</v>
      </c>
      <c r="M25" s="7">
        <v>42613</v>
      </c>
      <c r="N25" s="8">
        <v>14</v>
      </c>
      <c r="O25" s="8" t="str">
        <f>"003545"</f>
        <v>003545</v>
      </c>
      <c r="P25" s="7">
        <v>43663</v>
      </c>
      <c r="Q25" s="12">
        <v>10.2616</v>
      </c>
      <c r="R25" s="12">
        <v>1.0716600000000001</v>
      </c>
      <c r="S25" s="12">
        <v>9.18994</v>
      </c>
      <c r="T25" s="8">
        <v>121</v>
      </c>
      <c r="U25" s="7">
        <v>43668</v>
      </c>
      <c r="V25" s="8">
        <v>9449780285</v>
      </c>
      <c r="W25" s="11" t="s">
        <v>110</v>
      </c>
      <c r="X25" s="8" t="s">
        <v>32</v>
      </c>
      <c r="Y25" s="11" t="s">
        <v>33</v>
      </c>
      <c r="Z25" s="8" t="s">
        <v>45</v>
      </c>
      <c r="AA25" s="11" t="s">
        <v>46</v>
      </c>
      <c r="AB25" s="12">
        <f t="shared" si="1"/>
        <v>0.102616</v>
      </c>
    </row>
    <row r="26" spans="1:28" s="4" customFormat="1" ht="13" x14ac:dyDescent="0.3">
      <c r="A26" s="5">
        <v>2805</v>
      </c>
      <c r="B26" s="6" t="s">
        <v>95</v>
      </c>
      <c r="C26" s="7">
        <v>43668</v>
      </c>
      <c r="D26" s="8">
        <v>78</v>
      </c>
      <c r="E26" s="9" t="s">
        <v>52</v>
      </c>
      <c r="F26" s="8" t="s">
        <v>111</v>
      </c>
      <c r="G26" s="11" t="s">
        <v>112</v>
      </c>
      <c r="H26" s="8" t="str">
        <f>"000373"</f>
        <v>000373</v>
      </c>
      <c r="I26" s="7">
        <v>41701</v>
      </c>
      <c r="J26" s="8" t="str">
        <f>"000057"</f>
        <v>000057</v>
      </c>
      <c r="K26" s="7">
        <v>42448</v>
      </c>
      <c r="L26" s="8" t="str">
        <f>"000258"</f>
        <v>000258</v>
      </c>
      <c r="M26" s="7">
        <v>42613</v>
      </c>
      <c r="N26" s="8">
        <v>14</v>
      </c>
      <c r="O26" s="8" t="str">
        <f>"003727"</f>
        <v>003727</v>
      </c>
      <c r="P26" s="7">
        <v>43664</v>
      </c>
      <c r="Q26" s="12">
        <v>10.2662</v>
      </c>
      <c r="R26" s="12">
        <v>1.1519200000000001</v>
      </c>
      <c r="S26" s="12">
        <v>9.1142800000000008</v>
      </c>
      <c r="T26" s="8">
        <v>121</v>
      </c>
      <c r="U26" s="7">
        <v>43668</v>
      </c>
      <c r="V26" s="8">
        <v>9449780285</v>
      </c>
      <c r="W26" s="11" t="s">
        <v>110</v>
      </c>
      <c r="X26" s="8" t="s">
        <v>32</v>
      </c>
      <c r="Y26" s="11" t="s">
        <v>33</v>
      </c>
      <c r="Z26" s="8" t="s">
        <v>45</v>
      </c>
      <c r="AA26" s="11" t="s">
        <v>46</v>
      </c>
      <c r="AB26" s="12">
        <f t="shared" si="1"/>
        <v>0.10266199999999999</v>
      </c>
    </row>
    <row r="27" spans="1:28" s="4" customFormat="1" ht="13" x14ac:dyDescent="0.3">
      <c r="A27" s="5">
        <v>2806</v>
      </c>
      <c r="B27" s="6" t="s">
        <v>95</v>
      </c>
      <c r="C27" s="7">
        <v>43672</v>
      </c>
      <c r="D27" s="8">
        <v>78</v>
      </c>
      <c r="E27" s="9" t="s">
        <v>52</v>
      </c>
      <c r="F27" s="8" t="s">
        <v>113</v>
      </c>
      <c r="G27" s="11" t="s">
        <v>114</v>
      </c>
      <c r="H27" s="8" t="str">
        <f>"000274"</f>
        <v>000274</v>
      </c>
      <c r="I27" s="7">
        <v>43472</v>
      </c>
      <c r="J27" s="8" t="str">
        <f>"000016"</f>
        <v>000016</v>
      </c>
      <c r="K27" s="7">
        <v>43634</v>
      </c>
      <c r="L27" s="8" t="str">
        <f>"000087"</f>
        <v>000087</v>
      </c>
      <c r="M27" s="7">
        <v>43634</v>
      </c>
      <c r="N27" s="8">
        <v>18</v>
      </c>
      <c r="O27" s="8" t="str">
        <f>"003784"</f>
        <v>003784</v>
      </c>
      <c r="P27" s="7">
        <v>43664</v>
      </c>
      <c r="Q27" s="12">
        <v>39.876809999999999</v>
      </c>
      <c r="R27" s="12">
        <v>1.88276</v>
      </c>
      <c r="S27" s="12">
        <v>37.994050000000001</v>
      </c>
      <c r="T27" s="8">
        <v>127</v>
      </c>
      <c r="U27" s="7">
        <v>43672</v>
      </c>
      <c r="V27" s="8">
        <v>9448853642</v>
      </c>
      <c r="W27" s="11" t="s">
        <v>64</v>
      </c>
      <c r="X27" s="8" t="s">
        <v>35</v>
      </c>
      <c r="Y27" s="11" t="s">
        <v>36</v>
      </c>
      <c r="Z27" s="8" t="s">
        <v>45</v>
      </c>
      <c r="AA27" s="11" t="s">
        <v>46</v>
      </c>
      <c r="AB27" s="12">
        <f t="shared" si="1"/>
        <v>0.39876810000000001</v>
      </c>
    </row>
    <row r="28" spans="1:28" s="4" customFormat="1" ht="13" x14ac:dyDescent="0.3">
      <c r="A28" s="5">
        <v>2807</v>
      </c>
      <c r="B28" s="6" t="s">
        <v>95</v>
      </c>
      <c r="C28" s="7">
        <v>43672</v>
      </c>
      <c r="D28" s="8">
        <v>78</v>
      </c>
      <c r="E28" s="9" t="s">
        <v>52</v>
      </c>
      <c r="F28" s="8" t="s">
        <v>115</v>
      </c>
      <c r="G28" s="11" t="s">
        <v>116</v>
      </c>
      <c r="H28" s="8" t="str">
        <f>"000276"</f>
        <v>000276</v>
      </c>
      <c r="I28" s="7">
        <v>43472</v>
      </c>
      <c r="J28" s="8" t="str">
        <f>"000015"</f>
        <v>000015</v>
      </c>
      <c r="K28" s="7">
        <v>43633</v>
      </c>
      <c r="L28" s="8" t="str">
        <f>"000086"</f>
        <v>000086</v>
      </c>
      <c r="M28" s="7">
        <v>43633</v>
      </c>
      <c r="N28" s="8">
        <v>18</v>
      </c>
      <c r="O28" s="8" t="str">
        <f>"003785"</f>
        <v>003785</v>
      </c>
      <c r="P28" s="7">
        <v>43664</v>
      </c>
      <c r="Q28" s="12">
        <v>40.380589999999998</v>
      </c>
      <c r="R28" s="12">
        <v>1.7077800000000001</v>
      </c>
      <c r="S28" s="12">
        <v>38.672809999999998</v>
      </c>
      <c r="T28" s="8">
        <v>127</v>
      </c>
      <c r="U28" s="7">
        <v>43672</v>
      </c>
      <c r="V28" s="8">
        <v>9845990172</v>
      </c>
      <c r="W28" s="11" t="s">
        <v>117</v>
      </c>
      <c r="X28" s="8" t="s">
        <v>35</v>
      </c>
      <c r="Y28" s="11" t="s">
        <v>36</v>
      </c>
      <c r="Z28" s="8" t="s">
        <v>45</v>
      </c>
      <c r="AA28" s="11" t="s">
        <v>46</v>
      </c>
      <c r="AB28" s="12">
        <f t="shared" si="1"/>
        <v>0.4038059</v>
      </c>
    </row>
    <row r="29" spans="1:28" s="4" customFormat="1" ht="13" x14ac:dyDescent="0.3">
      <c r="A29" s="5">
        <v>2808</v>
      </c>
      <c r="B29" s="6" t="s">
        <v>95</v>
      </c>
      <c r="C29" s="7">
        <v>43675</v>
      </c>
      <c r="D29" s="8">
        <v>78</v>
      </c>
      <c r="E29" s="9" t="s">
        <v>52</v>
      </c>
      <c r="F29" s="8" t="s">
        <v>118</v>
      </c>
      <c r="G29" s="11" t="s">
        <v>119</v>
      </c>
      <c r="H29" s="8" t="str">
        <f>"000094"</f>
        <v>000094</v>
      </c>
      <c r="I29" s="7">
        <v>43021</v>
      </c>
      <c r="J29" s="8" t="str">
        <f>"000118"</f>
        <v>000118</v>
      </c>
      <c r="K29" s="7">
        <v>43475</v>
      </c>
      <c r="L29" s="8" t="str">
        <f>"000274"</f>
        <v>000274</v>
      </c>
      <c r="M29" s="7">
        <v>43475</v>
      </c>
      <c r="N29" s="8">
        <v>15</v>
      </c>
      <c r="O29" s="8" t="str">
        <f>"004024"</f>
        <v>004024</v>
      </c>
      <c r="P29" s="7">
        <v>43672</v>
      </c>
      <c r="Q29" s="12">
        <v>45.568240000000003</v>
      </c>
      <c r="R29" s="12">
        <v>2.0506500000000001</v>
      </c>
      <c r="S29" s="12">
        <v>43.517589999999998</v>
      </c>
      <c r="T29" s="8">
        <v>133</v>
      </c>
      <c r="U29" s="7">
        <v>43675</v>
      </c>
      <c r="V29" s="8">
        <v>9448853642</v>
      </c>
      <c r="W29" s="11" t="s">
        <v>64</v>
      </c>
      <c r="X29" s="8" t="s">
        <v>41</v>
      </c>
      <c r="Y29" s="11" t="s">
        <v>42</v>
      </c>
      <c r="Z29" s="8" t="s">
        <v>45</v>
      </c>
      <c r="AA29" s="11" t="s">
        <v>46</v>
      </c>
      <c r="AB29" s="12">
        <f t="shared" si="1"/>
        <v>0.45568240000000004</v>
      </c>
    </row>
    <row r="30" spans="1:28" s="4" customFormat="1" ht="13" x14ac:dyDescent="0.3">
      <c r="A30" s="5">
        <v>2809</v>
      </c>
      <c r="B30" s="6" t="s">
        <v>95</v>
      </c>
      <c r="C30" s="7">
        <v>43675</v>
      </c>
      <c r="D30" s="8">
        <v>78</v>
      </c>
      <c r="E30" s="9" t="s">
        <v>52</v>
      </c>
      <c r="F30" s="8" t="s">
        <v>120</v>
      </c>
      <c r="G30" s="11" t="s">
        <v>121</v>
      </c>
      <c r="H30" s="8" t="str">
        <f>"000071"</f>
        <v>000071</v>
      </c>
      <c r="I30" s="7">
        <v>43342</v>
      </c>
      <c r="J30" s="8" t="str">
        <f>"000069"</f>
        <v>000069</v>
      </c>
      <c r="K30" s="7">
        <v>43396</v>
      </c>
      <c r="L30" s="8" t="str">
        <f>"000182"</f>
        <v>000182</v>
      </c>
      <c r="M30" s="7">
        <v>43399</v>
      </c>
      <c r="N30" s="8">
        <v>18</v>
      </c>
      <c r="O30" s="8" t="str">
        <f>"004025"</f>
        <v>004025</v>
      </c>
      <c r="P30" s="7">
        <v>43672</v>
      </c>
      <c r="Q30" s="12">
        <v>17.78472</v>
      </c>
      <c r="R30" s="12">
        <v>0.82038999999999995</v>
      </c>
      <c r="S30" s="12">
        <v>16.96433</v>
      </c>
      <c r="T30" s="8">
        <v>133</v>
      </c>
      <c r="U30" s="7">
        <v>43675</v>
      </c>
      <c r="V30" s="8">
        <v>9448853642</v>
      </c>
      <c r="W30" s="11" t="s">
        <v>64</v>
      </c>
      <c r="X30" s="8" t="s">
        <v>32</v>
      </c>
      <c r="Y30" s="11" t="s">
        <v>33</v>
      </c>
      <c r="Z30" s="8" t="s">
        <v>45</v>
      </c>
      <c r="AA30" s="11" t="s">
        <v>46</v>
      </c>
      <c r="AB30" s="12">
        <f t="shared" si="1"/>
        <v>0.17784720000000001</v>
      </c>
    </row>
    <row r="31" spans="1:28" s="4" customFormat="1" ht="13" x14ac:dyDescent="0.3">
      <c r="A31" s="5">
        <v>2810</v>
      </c>
      <c r="B31" s="6" t="s">
        <v>95</v>
      </c>
      <c r="C31" s="7">
        <v>43675</v>
      </c>
      <c r="D31" s="8">
        <v>78</v>
      </c>
      <c r="E31" s="9" t="s">
        <v>52</v>
      </c>
      <c r="F31" s="8" t="s">
        <v>122</v>
      </c>
      <c r="G31" s="11" t="s">
        <v>123</v>
      </c>
      <c r="H31" s="8" t="str">
        <f>"000149"</f>
        <v>000149</v>
      </c>
      <c r="I31" s="7">
        <v>43067</v>
      </c>
      <c r="J31" s="8" t="str">
        <f>"000147"</f>
        <v>000147</v>
      </c>
      <c r="K31" s="7">
        <v>43514</v>
      </c>
      <c r="L31" s="8" t="str">
        <f>"000327"</f>
        <v>000327</v>
      </c>
      <c r="M31" s="7">
        <v>43514</v>
      </c>
      <c r="N31" s="8">
        <v>17</v>
      </c>
      <c r="O31" s="8" t="str">
        <f>"004027"</f>
        <v>004027</v>
      </c>
      <c r="P31" s="7">
        <v>43672</v>
      </c>
      <c r="Q31" s="12">
        <v>46.768459999999997</v>
      </c>
      <c r="R31" s="12">
        <v>1.97916</v>
      </c>
      <c r="S31" s="12">
        <v>44.789299999999997</v>
      </c>
      <c r="T31" s="8">
        <v>133</v>
      </c>
      <c r="U31" s="7">
        <v>43675</v>
      </c>
      <c r="V31" s="8">
        <v>9845990172</v>
      </c>
      <c r="W31" s="11" t="s">
        <v>117</v>
      </c>
      <c r="X31" s="8" t="s">
        <v>48</v>
      </c>
      <c r="Y31" s="11" t="s">
        <v>49</v>
      </c>
      <c r="Z31" s="8" t="s">
        <v>45</v>
      </c>
      <c r="AA31" s="11" t="s">
        <v>46</v>
      </c>
      <c r="AB31" s="12">
        <f t="shared" si="1"/>
        <v>0.46768459999999995</v>
      </c>
    </row>
    <row r="32" spans="1:28" s="4" customFormat="1" ht="13" x14ac:dyDescent="0.3">
      <c r="A32" s="5">
        <v>2811</v>
      </c>
      <c r="B32" s="6" t="s">
        <v>95</v>
      </c>
      <c r="C32" s="7">
        <v>43676</v>
      </c>
      <c r="D32" s="8">
        <v>78</v>
      </c>
      <c r="E32" s="9" t="s">
        <v>52</v>
      </c>
      <c r="F32" s="8" t="s">
        <v>124</v>
      </c>
      <c r="G32" s="11" t="s">
        <v>125</v>
      </c>
      <c r="H32" s="8" t="str">
        <f>"000317"</f>
        <v>000317</v>
      </c>
      <c r="I32" s="7">
        <v>43527</v>
      </c>
      <c r="J32" s="8" t="str">
        <f>"000017"</f>
        <v>000017</v>
      </c>
      <c r="K32" s="7">
        <v>43650</v>
      </c>
      <c r="L32" s="8" t="str">
        <f>"000095"</f>
        <v>000095</v>
      </c>
      <c r="M32" s="7">
        <v>43652</v>
      </c>
      <c r="N32" s="8">
        <v>16</v>
      </c>
      <c r="O32" s="8" t="str">
        <f>"004020"</f>
        <v>004020</v>
      </c>
      <c r="P32" s="7">
        <v>43671</v>
      </c>
      <c r="Q32" s="12">
        <v>91.015219999999999</v>
      </c>
      <c r="R32" s="12">
        <v>4.2700199999999997</v>
      </c>
      <c r="S32" s="12">
        <v>86.745199999999997</v>
      </c>
      <c r="T32" s="8">
        <v>134</v>
      </c>
      <c r="U32" s="7">
        <v>43676</v>
      </c>
      <c r="V32" s="8">
        <v>9845498414</v>
      </c>
      <c r="W32" s="11" t="s">
        <v>126</v>
      </c>
      <c r="X32" s="8" t="s">
        <v>127</v>
      </c>
      <c r="Y32" s="11" t="s">
        <v>128</v>
      </c>
      <c r="Z32" s="8" t="s">
        <v>45</v>
      </c>
      <c r="AA32" s="11" t="s">
        <v>46</v>
      </c>
      <c r="AB32" s="12">
        <f t="shared" si="1"/>
        <v>0.91015219999999997</v>
      </c>
    </row>
    <row r="33" spans="1:28" s="4" customFormat="1" ht="13" x14ac:dyDescent="0.3">
      <c r="A33" s="5">
        <v>2812</v>
      </c>
      <c r="B33" s="6" t="s">
        <v>129</v>
      </c>
      <c r="C33" s="7">
        <v>43696</v>
      </c>
      <c r="D33" s="8">
        <v>78</v>
      </c>
      <c r="E33" s="9" t="s">
        <v>52</v>
      </c>
      <c r="F33" s="8" t="s">
        <v>130</v>
      </c>
      <c r="G33" s="11" t="s">
        <v>131</v>
      </c>
      <c r="H33" s="8" t="str">
        <f>"000224"</f>
        <v>000224</v>
      </c>
      <c r="I33" s="7">
        <v>43152</v>
      </c>
      <c r="J33" s="8" t="str">
        <f>"000098"</f>
        <v>000098</v>
      </c>
      <c r="K33" s="7">
        <v>43179</v>
      </c>
      <c r="L33" s="8" t="str">
        <f>"000205"</f>
        <v>000205</v>
      </c>
      <c r="M33" s="7">
        <v>43180</v>
      </c>
      <c r="N33" s="8">
        <v>18</v>
      </c>
      <c r="O33" s="8" t="str">
        <f>"004478"</f>
        <v>004478</v>
      </c>
      <c r="P33" s="7">
        <v>43691</v>
      </c>
      <c r="Q33" s="12">
        <v>19.697099999999999</v>
      </c>
      <c r="R33" s="12">
        <v>0.98038000000000003</v>
      </c>
      <c r="S33" s="12">
        <v>18.716719999999999</v>
      </c>
      <c r="T33" s="8">
        <v>158</v>
      </c>
      <c r="U33" s="7">
        <v>43696</v>
      </c>
      <c r="V33" s="8">
        <v>9880858969</v>
      </c>
      <c r="W33" s="11" t="s">
        <v>132</v>
      </c>
      <c r="X33" s="8" t="s">
        <v>133</v>
      </c>
      <c r="Y33" s="11" t="s">
        <v>134</v>
      </c>
      <c r="Z33" s="8" t="s">
        <v>45</v>
      </c>
      <c r="AA33" s="11" t="s">
        <v>46</v>
      </c>
      <c r="AB33" s="12">
        <f t="shared" si="1"/>
        <v>0.19697099999999998</v>
      </c>
    </row>
    <row r="34" spans="1:28" s="4" customFormat="1" ht="13" x14ac:dyDescent="0.3">
      <c r="A34" s="5">
        <v>2813</v>
      </c>
      <c r="B34" s="6" t="s">
        <v>135</v>
      </c>
      <c r="C34" s="7">
        <v>43719</v>
      </c>
      <c r="D34" s="8">
        <v>78</v>
      </c>
      <c r="E34" s="9" t="s">
        <v>52</v>
      </c>
      <c r="F34" s="8" t="s">
        <v>53</v>
      </c>
      <c r="G34" s="11" t="s">
        <v>54</v>
      </c>
      <c r="H34" s="8" t="str">
        <f>"000024"</f>
        <v>000024</v>
      </c>
      <c r="I34" s="7">
        <v>42947</v>
      </c>
      <c r="J34" s="8" t="str">
        <f>"000071"</f>
        <v>000071</v>
      </c>
      <c r="K34" s="7">
        <v>43693</v>
      </c>
      <c r="L34" s="8" t="str">
        <f>"000071"</f>
        <v>000071</v>
      </c>
      <c r="M34" s="7">
        <v>43693</v>
      </c>
      <c r="N34" s="8">
        <v>16</v>
      </c>
      <c r="O34" s="8" t="str">
        <f>"004895"</f>
        <v>004895</v>
      </c>
      <c r="P34" s="7">
        <v>43711</v>
      </c>
      <c r="Q34" s="12">
        <v>2.0992000000000002</v>
      </c>
      <c r="R34" s="12">
        <v>0.28138000000000002</v>
      </c>
      <c r="S34" s="12">
        <v>1.81782</v>
      </c>
      <c r="T34" s="8">
        <v>179</v>
      </c>
      <c r="U34" s="7">
        <v>43719</v>
      </c>
      <c r="V34" s="8">
        <v>9845860866</v>
      </c>
      <c r="W34" s="11" t="s">
        <v>50</v>
      </c>
      <c r="X34" s="8" t="s">
        <v>29</v>
      </c>
      <c r="Y34" s="11" t="s">
        <v>30</v>
      </c>
      <c r="Z34" s="8" t="s">
        <v>43</v>
      </c>
      <c r="AA34" s="11" t="s">
        <v>44</v>
      </c>
      <c r="AB34" s="12">
        <f t="shared" si="1"/>
        <v>2.0992E-2</v>
      </c>
    </row>
    <row r="35" spans="1:28" s="4" customFormat="1" ht="13" x14ac:dyDescent="0.3">
      <c r="A35" s="5">
        <v>2814</v>
      </c>
      <c r="B35" s="6" t="s">
        <v>135</v>
      </c>
      <c r="C35" s="7">
        <v>43729</v>
      </c>
      <c r="D35" s="8">
        <v>78</v>
      </c>
      <c r="E35" s="9" t="s">
        <v>52</v>
      </c>
      <c r="F35" s="8" t="s">
        <v>136</v>
      </c>
      <c r="G35" s="11" t="s">
        <v>137</v>
      </c>
      <c r="H35" s="8" t="str">
        <f>"000053"</f>
        <v>000053</v>
      </c>
      <c r="I35" s="7">
        <v>42986</v>
      </c>
      <c r="J35" s="8" t="str">
        <f>"000042"</f>
        <v>000042</v>
      </c>
      <c r="K35" s="7">
        <v>43097</v>
      </c>
      <c r="L35" s="8" t="str">
        <f>"000083"</f>
        <v>000083</v>
      </c>
      <c r="M35" s="7">
        <v>43102</v>
      </c>
      <c r="N35" s="8">
        <v>17</v>
      </c>
      <c r="O35" s="8" t="str">
        <f>"005008"</f>
        <v>005008</v>
      </c>
      <c r="P35" s="7">
        <v>43719</v>
      </c>
      <c r="Q35" s="12">
        <v>19.33257</v>
      </c>
      <c r="R35" s="12">
        <v>0.45700000000000002</v>
      </c>
      <c r="S35" s="12">
        <v>18.87557</v>
      </c>
      <c r="T35" s="8">
        <v>194</v>
      </c>
      <c r="U35" s="7">
        <v>43729</v>
      </c>
      <c r="V35" s="8">
        <v>9341246488</v>
      </c>
      <c r="W35" s="11" t="s">
        <v>138</v>
      </c>
      <c r="X35" s="8" t="s">
        <v>48</v>
      </c>
      <c r="Y35" s="11" t="s">
        <v>49</v>
      </c>
      <c r="Z35" s="8" t="s">
        <v>45</v>
      </c>
      <c r="AA35" s="11" t="s">
        <v>46</v>
      </c>
      <c r="AB35" s="12">
        <f t="shared" si="1"/>
        <v>0.19332570000000002</v>
      </c>
    </row>
    <row r="36" spans="1:28" s="4" customFormat="1" ht="13" x14ac:dyDescent="0.3">
      <c r="A36" s="5">
        <v>2815</v>
      </c>
      <c r="B36" s="6" t="s">
        <v>135</v>
      </c>
      <c r="C36" s="7">
        <v>43731</v>
      </c>
      <c r="D36" s="8">
        <v>78</v>
      </c>
      <c r="E36" s="9" t="s">
        <v>52</v>
      </c>
      <c r="F36" s="8" t="s">
        <v>139</v>
      </c>
      <c r="G36" s="11" t="s">
        <v>140</v>
      </c>
      <c r="H36" s="8" t="str">
        <f>"000179"</f>
        <v>000179</v>
      </c>
      <c r="I36" s="7">
        <v>43250</v>
      </c>
      <c r="J36" s="8" t="str">
        <f>"000045"</f>
        <v>000045</v>
      </c>
      <c r="K36" s="7">
        <v>43250</v>
      </c>
      <c r="L36" s="8" t="str">
        <f>"000045"</f>
        <v>000045</v>
      </c>
      <c r="M36" s="7">
        <v>43250</v>
      </c>
      <c r="N36" s="8">
        <v>18</v>
      </c>
      <c r="O36" s="8" t="str">
        <f>"005150"</f>
        <v>005150</v>
      </c>
      <c r="P36" s="7">
        <v>43726</v>
      </c>
      <c r="Q36" s="12">
        <v>49.904940000000003</v>
      </c>
      <c r="R36" s="12">
        <v>6.2891000000000004</v>
      </c>
      <c r="S36" s="12">
        <v>43.615839999999999</v>
      </c>
      <c r="T36" s="8">
        <v>197</v>
      </c>
      <c r="U36" s="7">
        <v>43731</v>
      </c>
      <c r="V36" s="8">
        <v>9945525730</v>
      </c>
      <c r="W36" s="11" t="s">
        <v>141</v>
      </c>
      <c r="X36" s="8" t="s">
        <v>38</v>
      </c>
      <c r="Y36" s="11" t="s">
        <v>39</v>
      </c>
      <c r="Z36" s="8" t="s">
        <v>43</v>
      </c>
      <c r="AA36" s="11" t="s">
        <v>44</v>
      </c>
      <c r="AB36" s="12">
        <f t="shared" si="1"/>
        <v>0.49904940000000003</v>
      </c>
    </row>
    <row r="37" spans="1:28" s="4" customFormat="1" ht="13" x14ac:dyDescent="0.3">
      <c r="A37" s="5">
        <v>2816</v>
      </c>
      <c r="B37" s="6" t="s">
        <v>135</v>
      </c>
      <c r="C37" s="7">
        <v>43731</v>
      </c>
      <c r="D37" s="8">
        <v>78</v>
      </c>
      <c r="E37" s="9" t="s">
        <v>52</v>
      </c>
      <c r="F37" s="8" t="s">
        <v>142</v>
      </c>
      <c r="G37" s="11" t="s">
        <v>143</v>
      </c>
      <c r="H37" s="8" t="str">
        <f>"000181"</f>
        <v>000181</v>
      </c>
      <c r="I37" s="7">
        <v>43250</v>
      </c>
      <c r="J37" s="8" t="str">
        <f>"000047"</f>
        <v>000047</v>
      </c>
      <c r="K37" s="7">
        <v>43250</v>
      </c>
      <c r="L37" s="8" t="str">
        <f>"000047"</f>
        <v>000047</v>
      </c>
      <c r="M37" s="7">
        <v>43250</v>
      </c>
      <c r="N37" s="8">
        <v>18</v>
      </c>
      <c r="O37" s="8" t="str">
        <f>"005154"</f>
        <v>005154</v>
      </c>
      <c r="P37" s="7">
        <v>43726</v>
      </c>
      <c r="Q37" s="12">
        <v>49.96219</v>
      </c>
      <c r="R37" s="12">
        <v>6.2964599999999997</v>
      </c>
      <c r="S37" s="12">
        <v>43.665730000000003</v>
      </c>
      <c r="T37" s="8">
        <v>197</v>
      </c>
      <c r="U37" s="7">
        <v>43731</v>
      </c>
      <c r="V37" s="8">
        <v>9945525730</v>
      </c>
      <c r="W37" s="11" t="s">
        <v>141</v>
      </c>
      <c r="X37" s="8" t="s">
        <v>38</v>
      </c>
      <c r="Y37" s="11" t="s">
        <v>39</v>
      </c>
      <c r="Z37" s="8" t="s">
        <v>43</v>
      </c>
      <c r="AA37" s="11" t="s">
        <v>44</v>
      </c>
      <c r="AB37" s="12">
        <f t="shared" si="1"/>
        <v>0.49962190000000001</v>
      </c>
    </row>
    <row r="38" spans="1:28" s="4" customFormat="1" ht="13" x14ac:dyDescent="0.3">
      <c r="A38" s="5">
        <v>2817</v>
      </c>
      <c r="B38" s="6" t="s">
        <v>135</v>
      </c>
      <c r="C38" s="7">
        <v>43731</v>
      </c>
      <c r="D38" s="8">
        <v>78</v>
      </c>
      <c r="E38" s="9" t="s">
        <v>52</v>
      </c>
      <c r="F38" s="8" t="s">
        <v>144</v>
      </c>
      <c r="G38" s="11" t="s">
        <v>145</v>
      </c>
      <c r="H38" s="8" t="str">
        <f>"000182"</f>
        <v>000182</v>
      </c>
      <c r="I38" s="7">
        <v>43250</v>
      </c>
      <c r="J38" s="8" t="str">
        <f>"000048"</f>
        <v>000048</v>
      </c>
      <c r="K38" s="7">
        <v>43250</v>
      </c>
      <c r="L38" s="8" t="str">
        <f>"000048"</f>
        <v>000048</v>
      </c>
      <c r="M38" s="7">
        <v>43250</v>
      </c>
      <c r="N38" s="8">
        <v>18</v>
      </c>
      <c r="O38" s="8" t="str">
        <f>"005155"</f>
        <v>005155</v>
      </c>
      <c r="P38" s="7">
        <v>43726</v>
      </c>
      <c r="Q38" s="12">
        <v>49.946350000000002</v>
      </c>
      <c r="R38" s="12">
        <v>6.2935400000000001</v>
      </c>
      <c r="S38" s="12">
        <v>43.652810000000002</v>
      </c>
      <c r="T38" s="8">
        <v>197</v>
      </c>
      <c r="U38" s="7">
        <v>43731</v>
      </c>
      <c r="V38" s="8">
        <v>9945525730</v>
      </c>
      <c r="W38" s="11" t="s">
        <v>141</v>
      </c>
      <c r="X38" s="8" t="s">
        <v>38</v>
      </c>
      <c r="Y38" s="11" t="s">
        <v>39</v>
      </c>
      <c r="Z38" s="8" t="s">
        <v>43</v>
      </c>
      <c r="AA38" s="11" t="s">
        <v>44</v>
      </c>
      <c r="AB38" s="12">
        <f t="shared" si="1"/>
        <v>0.4994635</v>
      </c>
    </row>
    <row r="39" spans="1:28" s="4" customFormat="1" ht="13" x14ac:dyDescent="0.3">
      <c r="A39" s="5">
        <v>2818</v>
      </c>
      <c r="B39" s="6" t="s">
        <v>146</v>
      </c>
      <c r="C39" s="7">
        <v>43748</v>
      </c>
      <c r="D39" s="5">
        <v>78</v>
      </c>
      <c r="E39" s="9" t="s">
        <v>52</v>
      </c>
      <c r="F39" s="8" t="s">
        <v>147</v>
      </c>
      <c r="G39" s="9" t="s">
        <v>148</v>
      </c>
      <c r="H39" s="8" t="str">
        <f>"000180"</f>
        <v>000180</v>
      </c>
      <c r="I39" s="7">
        <v>43250</v>
      </c>
      <c r="J39" s="8" t="str">
        <f>"000046"</f>
        <v>000046</v>
      </c>
      <c r="K39" s="7">
        <v>43250</v>
      </c>
      <c r="L39" s="8" t="str">
        <f>"000046"</f>
        <v>000046</v>
      </c>
      <c r="M39" s="7">
        <v>43250</v>
      </c>
      <c r="N39" s="8">
        <v>18</v>
      </c>
      <c r="O39" s="8" t="str">
        <f>"005644"</f>
        <v>005644</v>
      </c>
      <c r="P39" s="7">
        <v>43741</v>
      </c>
      <c r="Q39" s="10">
        <v>49.927840000000003</v>
      </c>
      <c r="R39" s="10">
        <v>6.29176</v>
      </c>
      <c r="S39" s="10">
        <v>43.63608</v>
      </c>
      <c r="T39" s="8">
        <v>13</v>
      </c>
      <c r="U39" s="7">
        <v>43748</v>
      </c>
      <c r="V39" s="8">
        <v>9945525730</v>
      </c>
      <c r="W39" s="9" t="s">
        <v>141</v>
      </c>
      <c r="X39" s="8" t="s">
        <v>38</v>
      </c>
      <c r="Y39" s="9" t="s">
        <v>39</v>
      </c>
      <c r="Z39" s="8" t="s">
        <v>43</v>
      </c>
      <c r="AA39" s="9" t="s">
        <v>44</v>
      </c>
      <c r="AB39" s="10">
        <v>0.49927840000000001</v>
      </c>
    </row>
    <row r="40" spans="1:28" s="4" customFormat="1" ht="13" x14ac:dyDescent="0.3">
      <c r="A40" s="5">
        <v>2819</v>
      </c>
      <c r="B40" s="6" t="s">
        <v>146</v>
      </c>
      <c r="C40" s="7">
        <v>43761</v>
      </c>
      <c r="D40" s="5">
        <v>78</v>
      </c>
      <c r="E40" s="9" t="s">
        <v>52</v>
      </c>
      <c r="F40" s="8" t="s">
        <v>149</v>
      </c>
      <c r="G40" s="9" t="s">
        <v>150</v>
      </c>
      <c r="H40" s="8" t="str">
        <f>"000078"</f>
        <v>000078</v>
      </c>
      <c r="I40" s="7">
        <v>42915</v>
      </c>
      <c r="J40" s="8" t="str">
        <f>"000146"</f>
        <v>000146</v>
      </c>
      <c r="K40" s="7">
        <v>43514</v>
      </c>
      <c r="L40" s="8" t="str">
        <f>"000328"</f>
        <v>000328</v>
      </c>
      <c r="M40" s="7">
        <v>43515</v>
      </c>
      <c r="N40" s="8">
        <v>17</v>
      </c>
      <c r="O40" s="8" t="str">
        <f>"005878"</f>
        <v>005878</v>
      </c>
      <c r="P40" s="7">
        <v>43760</v>
      </c>
      <c r="Q40" s="10">
        <v>48.534080000000003</v>
      </c>
      <c r="R40" s="10">
        <v>23.534079999999999</v>
      </c>
      <c r="S40" s="10">
        <v>25</v>
      </c>
      <c r="T40" s="8">
        <v>13</v>
      </c>
      <c r="U40" s="7">
        <v>43761</v>
      </c>
      <c r="V40" s="8">
        <v>9035660123</v>
      </c>
      <c r="W40" s="9" t="s">
        <v>47</v>
      </c>
      <c r="X40" s="8" t="s">
        <v>151</v>
      </c>
      <c r="Y40" s="9" t="s">
        <v>152</v>
      </c>
      <c r="Z40" s="8" t="s">
        <v>45</v>
      </c>
      <c r="AA40" s="9" t="s">
        <v>46</v>
      </c>
      <c r="AB40" s="10">
        <v>0.48534080000000002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2020-01-28T12:02:18Z</dcterms:modified>
</cp:coreProperties>
</file>