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1" i="1" l="1"/>
  <c r="L41" i="1"/>
  <c r="J41" i="1"/>
  <c r="H41" i="1"/>
  <c r="O40" i="1"/>
  <c r="L40" i="1"/>
  <c r="J40" i="1"/>
  <c r="H40" i="1"/>
  <c r="O39" i="1"/>
  <c r="L39" i="1"/>
  <c r="J39" i="1"/>
  <c r="H39" i="1"/>
  <c r="O38" i="1"/>
  <c r="L38" i="1"/>
  <c r="J38" i="1"/>
  <c r="H38" i="1"/>
  <c r="O37" i="1"/>
  <c r="L37" i="1"/>
  <c r="J37" i="1"/>
  <c r="H37" i="1"/>
  <c r="O36" i="1"/>
  <c r="L36" i="1"/>
  <c r="J36" i="1"/>
  <c r="H36" i="1"/>
  <c r="O35" i="1"/>
  <c r="L35" i="1"/>
  <c r="J35" i="1"/>
  <c r="H35" i="1"/>
  <c r="O34" i="1"/>
  <c r="L34" i="1"/>
  <c r="J34" i="1"/>
  <c r="H34" i="1"/>
  <c r="O33" i="1"/>
  <c r="L33" i="1"/>
  <c r="J33" i="1"/>
  <c r="H33" i="1"/>
  <c r="O32" i="1"/>
  <c r="L32" i="1"/>
  <c r="J32" i="1"/>
  <c r="H32" i="1"/>
  <c r="O31" i="1"/>
  <c r="L31" i="1"/>
  <c r="J31" i="1"/>
  <c r="H31" i="1"/>
  <c r="O30" i="1"/>
  <c r="L30" i="1"/>
  <c r="J30" i="1"/>
  <c r="H30"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<sst xmlns="http://schemas.openxmlformats.org/spreadsheetml/2006/main" count="388" uniqueCount="151">
  <si>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</si>
  <si>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</si>
  <si>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</si>
  <si>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</si>
  <si>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</si>
  <si>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</si>
  <si>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</si>
  <si>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</si>
  <si>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</si>
  <si>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</si>
  <si>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</si>
  <si>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</si>
  <si>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</si>
  <si>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</si>
  <si>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</si>
  <si>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</si>
  <si>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</si>
  <si>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</si>
  <si>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</si>
  <si>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</si>
  <si>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</si>
  <si>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</si>
  <si>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</si>
  <si>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</si>
  <si>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</si>
  <si>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</si>
  <si>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</si>
  <si>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</si>
  <si>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</si>
  <si>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P1802</t>
  </si>
  <si>
    <t>Water Supply New Areas</t>
  </si>
  <si>
    <t>P0300</t>
  </si>
  <si>
    <t>M and R to Street Lights - Replacement of Burnt Bulbs etc. (Package)</t>
  </si>
  <si>
    <t>ddo617</t>
  </si>
  <si>
    <t xml:space="preserve"> Executive Engineer Electrical Yelhanka Zone</t>
  </si>
  <si>
    <t>P3158</t>
  </si>
  <si>
    <t>SIP Infrastructure Project works</t>
  </si>
  <si>
    <t>ddo235</t>
  </si>
  <si>
    <t xml:space="preserve"> Assistant Executive Engineer Project-1 Yelahanka Zone</t>
  </si>
  <si>
    <t>June</t>
  </si>
  <si>
    <t>P1771</t>
  </si>
  <si>
    <t>Zone Works - POW Works</t>
  </si>
  <si>
    <t>May</t>
  </si>
  <si>
    <t>P3089</t>
  </si>
  <si>
    <t>Special Development works in 7 CMC and 1 TMC area in BBMP</t>
  </si>
  <si>
    <t>Technical Manger(West)</t>
  </si>
  <si>
    <t>P3297</t>
  </si>
  <si>
    <t>14th Finance Commission Grants - SWD Works</t>
  </si>
  <si>
    <t>ddo475</t>
  </si>
  <si>
    <t xml:space="preserve"> Assistant Executive Engineer Virupakshapura Sub division Yelhanka Zone</t>
  </si>
  <si>
    <t>N N Sreenivasaiah</t>
  </si>
  <si>
    <t>P3110</t>
  </si>
  <si>
    <t>14th Finance Commission Grant Works</t>
  </si>
  <si>
    <t>P3298</t>
  </si>
  <si>
    <t>14th Finance Commission Works - SWM Works</t>
  </si>
  <si>
    <t>P3296</t>
  </si>
  <si>
    <t>14th Finance Commission Works - Road and Footpath Maintenance</t>
  </si>
  <si>
    <t>Kodigehalli</t>
  </si>
  <si>
    <t>008-18-000024</t>
  </si>
  <si>
    <t>Providing basic amenities and procurement of dustbins in ward No.08, Kodigehalli.</t>
  </si>
  <si>
    <t>008-16-000029</t>
  </si>
  <si>
    <t>Providing potable water to residents of kodigehalli through tractor mounted tankers in ward no 8 kodigehalli</t>
  </si>
  <si>
    <t>S Vinod Kumar</t>
  </si>
  <si>
    <t>008-17-000006</t>
  </si>
  <si>
    <t>DESILTING AND DEBRIS CLEARANCE IN MAIN AND CROSS ROAD DRAINS IN MARUTHINAGARA BB NAGARA AMCO LAYOUT BALAJI LAYOUT AND SURROUNDING AREAS IN WARD NO 8 KODIGEHALLI</t>
  </si>
  <si>
    <t xml:space="preserve"> Narasimhareddy S</t>
  </si>
  <si>
    <t>008-16-000013</t>
  </si>
  <si>
    <t>Operation and maintenance of Street lights in Kodigehalli Ward W No 8Package Y 8</t>
  </si>
  <si>
    <t>Muniraju HC Prof of M/s Sri Chamundeshwari Electricals</t>
  </si>
  <si>
    <t>M/s Sri Chamundeshwari Electricals</t>
  </si>
  <si>
    <t>008-16-000036</t>
  </si>
  <si>
    <t>Consultancy Services for preparation of detailed survey, Designs, Drawings, Estimate, bid document, bill of Quantities for the work of Construction of Indoor Stadium with all Amenities at Sahakara nagar in Ward No 08 Kodigehalli, Kodigehalli Sub Division</t>
  </si>
  <si>
    <t>Sri Karthik Rechan R(M/s Rudraprasad Consultants)</t>
  </si>
  <si>
    <t>Sri.Abbun Sambasiva reddy</t>
  </si>
  <si>
    <t>008-18-000022</t>
  </si>
  <si>
    <t>Improvements to Sanitary works in ward No.08, Kodigehalli</t>
  </si>
  <si>
    <t>P3295</t>
  </si>
  <si>
    <t>14th Finance Commission Works - UGD Works</t>
  </si>
  <si>
    <t>008-18-000025</t>
  </si>
  <si>
    <t>Improvements to SWD in ward No.08, Kodigehalli</t>
  </si>
  <si>
    <t>008-18-000020</t>
  </si>
  <si>
    <t>Improvements to roads and drains at Kodigehalli village from 4th to 5th cross and other roads in ward No.08, Kodigehalli.</t>
  </si>
  <si>
    <t>008-17-000054</t>
  </si>
  <si>
    <t>Engagement of Gangman and Hiring of Tractor Tippers for cleaning and Maintenance of road side drains and other cleaning works in  works in ward no 08</t>
  </si>
  <si>
    <t>008-18-000030</t>
  </si>
  <si>
    <t>Improvements to Parks in ward No.08, Kodigehalli</t>
  </si>
  <si>
    <t>P3292</t>
  </si>
  <si>
    <t>14th Finance Commission Works - Community Property Maintenance (including Parks)</t>
  </si>
  <si>
    <t>008-18-000049</t>
  </si>
  <si>
    <t xml:space="preserve">Package No. 03 (Package consists of 21 works) </t>
  </si>
  <si>
    <t>C.G.Chandrappa</t>
  </si>
  <si>
    <t>008-16-000026</t>
  </si>
  <si>
    <t>Providing street sign boards to main and cross roads of kodigehalli in ward no 8</t>
  </si>
  <si>
    <t>K Anil Kumar</t>
  </si>
  <si>
    <t>008-17-000017</t>
  </si>
  <si>
    <t>PROVIDING STREET SIGN BOARDS TO MAIN AND CROSS ROADS OF KODIGEHALLI IN WARD NO 8</t>
  </si>
  <si>
    <t>SRINIVASAIAH N N</t>
  </si>
  <si>
    <t>008-17-000012</t>
  </si>
  <si>
    <t>CONSTRUCTION OF GOVERNMENT SCHOOL BUILDING IN KODIGEHALLI WARD NO 8</t>
  </si>
  <si>
    <t>Gopi Reddy</t>
  </si>
  <si>
    <t>July</t>
  </si>
  <si>
    <t>008-18-000044</t>
  </si>
  <si>
    <t>Providing UGD works ward no 8</t>
  </si>
  <si>
    <t>Executive Engineer,Karnataka Rural Infrastructure Development Ltd</t>
  </si>
  <si>
    <t>008-18-000090</t>
  </si>
  <si>
    <t>Replacement of UGD Pipeline at Kodigehalli in ward no 08 Kodigehalli</t>
  </si>
  <si>
    <t>008-17-000014</t>
  </si>
  <si>
    <t>PROVIDING ROAD MARKING TO MAIN AND CROSS ROADS OF WARD NO 8 KODIGEHALLI</t>
  </si>
  <si>
    <t>Balaji G</t>
  </si>
  <si>
    <t>August</t>
  </si>
  <si>
    <t>008-17-000021</t>
  </si>
  <si>
    <t>SHIFTING OF DTC AT 087 ALONG WITH LT HT LINE BETWEEN MEDIAN WITH RE ON MAIN TATANAGARA CIRCLE KODIGEHALLI</t>
  </si>
  <si>
    <t>M/s. Sri Lakshmi Varadaraja Electrical stores</t>
  </si>
  <si>
    <t>008-16-000005</t>
  </si>
  <si>
    <t>Improvements to Roads and Drains at Amco and De-enclave Layout Surroundings in ward no 08 Kodigehalli Sub Division</t>
  </si>
  <si>
    <t>Vinod Kumar S</t>
  </si>
  <si>
    <t>September</t>
  </si>
  <si>
    <t xml:space="preserve">Consultancy Services for Preparation of DPR (Which includes Survey Designs, Drawing,Estimate etc.,) and for Project Management Consultancy for Package No.03 (Package Consists of 21 Works) </t>
  </si>
  <si>
    <t>Karthik Rechan R,Rudraprasad Consultants</t>
  </si>
  <si>
    <t>008-18-000021</t>
  </si>
  <si>
    <t>Improvements to drains and footpath at Tatanagar from 5th cross to 7th cross and other roads in ward No.08, Kodigehalli.</t>
  </si>
  <si>
    <t>October</t>
  </si>
  <si>
    <t>008-18-000026</t>
  </si>
  <si>
    <t>Providing drinking water through bore wells in ward no 08 Kodigehalli</t>
  </si>
  <si>
    <t>P3293</t>
  </si>
  <si>
    <t>14th Finance Commission Works - Drinking Water</t>
  </si>
  <si>
    <t>008-17-000060</t>
  </si>
  <si>
    <t>Providing drinking water works in Ward No 8 in Byatarayanpura Division</t>
  </si>
  <si>
    <t>008-17-000035</t>
  </si>
  <si>
    <t>Improvements to road, drain and footpath in main and cross roads of Kodigehalli in Ward No. 8 Kodigehalli</t>
  </si>
  <si>
    <t>Pramodh M/s Karthik Enterprises</t>
  </si>
  <si>
    <t>November</t>
  </si>
  <si>
    <t>008-19-000024</t>
  </si>
  <si>
    <t>Improvements of Road and drains in Devinagara Balaji Layout Bhadrappa Layout and surrounding areas in ward no 08</t>
  </si>
  <si>
    <t>P3111</t>
  </si>
  <si>
    <t>State Finance Commission Untied Grant Works</t>
  </si>
  <si>
    <t>008-18-000045</t>
  </si>
  <si>
    <t>Desilting of existing storm water drains ward no 8</t>
  </si>
  <si>
    <t>December</t>
  </si>
  <si>
    <t>008-19-000035</t>
  </si>
  <si>
    <t>Consultancy Services for Preparation of DPR (which includes Survey,Designs,Drawing, Estimate etc.,) and for Project Management Consultancy (Consultancy Services for Construction Supervision,Project Management &amp; Quality Assurance for the works) For Improvements to roads and drains in Kodigehalli colony Maruthinagara BB Nagar and surrounding area in ward no 08.Est cost 55.00 Lakhs.</t>
  </si>
  <si>
    <t>Sri.C VEERAMMA TRANSHEIGHT CONSULTANTS PRIVATE LIMITED</t>
  </si>
  <si>
    <t>P3409</t>
  </si>
  <si>
    <t>SFC Untied SC-SP/TSP Grant works</t>
  </si>
  <si>
    <t>008-18-000032</t>
  </si>
  <si>
    <t>Package 5 Including 4 works of Rs 170.00 Lakhs 1. Reasphalting to main and cross roads at B C and D Blocks of Sahakaranagara in Ward.No.08 Kodigehalli 2. Improvements to Roads and Drains at Devenagara and Lottegollhalli in ward no 08 Kodigehalli 3. Improvements to Roads and Drains at Balaji Layout and Surrounding in ward no:08 4. Provding and Laying new Road at Sonnegowda Layout and Surrounding in ward no 08</t>
  </si>
  <si>
    <t>MS KBR Infratech Limited</t>
  </si>
  <si>
    <t>008-17-000055</t>
  </si>
  <si>
    <t>Package 1 includes 10 works of Rs. 146.50 Lakhs 1.Providing CC Camera at Garbage Block Spots in ward no 08 2. Construction and improvments of toilets in W N 8, Kodigehalli 3. Improvement works to Burrial Ground at Kodigehalli ward no 8 4. Improvements of Park in ward no 8 Kodigehalli 5. Providing drinking water facility in ward no 8 Kodigehalli 6. Providing drinking water facility in Maruthi nagara and Devinagara in ward no 8 Kodigehalli 7. Repairs and Maintenance of Public toilet in ward no 8 Kodigehalli 8. Improvements Footpath and drains Sahakaranagara in ward no 8 Kodigehalli 9. Improvements roads and drain in ward no 8 Kodigehalli 10. Providing Modren Dust Bin in Bangalore City in ward no 08</t>
  </si>
  <si>
    <t>008-19-000034</t>
  </si>
  <si>
    <t>Consultancy Services for Preparation of DPR (which includes Survey,Designs,Drawing, Estimate etc.,) and for Project Management Consultancy (Consultancy Services for Construction Supervision,Project Management &amp; Quality Assurance for the works) For Improvements to roads and drains at Bhadrappa layout Balaji layout and surrounding areas in ward no 08.Est cost 60.00 Lakhs.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</si>
</sst>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1"/>
  <sheetViews>
    <sheetView tabSelected="1" workbookViewId="0">
      <selection activeCell="A2" sqref="A2:XFD41"/>
    </sheetView>
  </sheetViews>
  <sheetFormatPr defaultRowHeight="14.5" x14ac:dyDescent="0.35"/>
  <cols>
    <col min="1" max="1" width="5" bestFit="1" customWidth="1"/>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s="4" customFormat="1" ht="13" x14ac:dyDescent="0.3">
      <c r="A2" s="5">
        <v>326</v>
      </c>
      <c r="B2" s="6" t="s">
        <v>28</v>
      </c>
      <c r="C2" s="7">
        <v>43563</v>
      </c>
      <c r="D2" s="8">
        <v>8</v>
      </c>
      <c r="E2" s="9" t="s">
        <v>57</v>
      </c>
      <c r="F2" s="8" t="s">
        <v>58</v>
      </c>
      <c r="G2" s="9" t="s">
        <v>59</v>
      </c>
      <c r="H2" s="8" t="str">
        <f>"000008"</f>
        <v>000008</v>
      </c>
      <c r="I2" s="7">
        <v>43451</v>
      </c>
      <c r="J2" s="8" t="str">
        <f>"000160"</f>
        <v>000160</v>
      </c>
      <c r="K2" s="7">
        <v>43504</v>
      </c>
      <c r="L2" s="8" t="str">
        <f>"000159"</f>
        <v>000159</v>
      </c>
      <c r="M2" s="7">
        <v>43504</v>
      </c>
      <c r="N2" s="8">
        <v>18</v>
      </c>
      <c r="O2" s="8" t="str">
        <f>"000050"</f>
        <v>000050</v>
      </c>
      <c r="P2" s="7">
        <v>43559</v>
      </c>
      <c r="Q2" s="10">
        <v>98.113609999999994</v>
      </c>
      <c r="R2" s="10">
        <v>9.7217199999999995</v>
      </c>
      <c r="S2" s="10">
        <v>88.391890000000004</v>
      </c>
      <c r="T2" s="8">
        <v>4</v>
      </c>
      <c r="U2" s="7">
        <v>43563</v>
      </c>
      <c r="V2" s="8">
        <v>9449863064</v>
      </c>
      <c r="W2" s="9" t="s">
        <v>45</v>
      </c>
      <c r="X2" s="8" t="s">
        <v>53</v>
      </c>
      <c r="Y2" s="9" t="s">
        <v>54</v>
      </c>
      <c r="Z2" s="8" t="s">
        <v>37</v>
      </c>
      <c r="AA2" s="9" t="s">
        <v>38</v>
      </c>
      <c r="AB2" s="10">
        <f t="shared" ref="AB2:AB13" si="0">Q2/100</f>
        <v>0.98113609999999996</v>
      </c>
    </row>
    <row r="3" spans="1:28" s="4" customFormat="1" ht="13" x14ac:dyDescent="0.3">
      <c r="A3" s="5">
        <v>327</v>
      </c>
      <c r="B3" s="6" t="s">
        <v>28</v>
      </c>
      <c r="C3" s="7">
        <v>43566</v>
      </c>
      <c r="D3" s="8">
        <v>8</v>
      </c>
      <c r="E3" s="9" t="s">
        <v>57</v>
      </c>
      <c r="F3" s="8" t="s">
        <v>60</v>
      </c>
      <c r="G3" s="9" t="s">
        <v>61</v>
      </c>
      <c r="H3" s="8" t="str">
        <f>"000008"</f>
        <v>000008</v>
      </c>
      <c r="I3" s="7">
        <v>43017</v>
      </c>
      <c r="J3" s="8" t="str">
        <f>"000009"</f>
        <v>000009</v>
      </c>
      <c r="K3" s="7">
        <v>43273</v>
      </c>
      <c r="L3" s="8" t="str">
        <f>"000030"</f>
        <v>000030</v>
      </c>
      <c r="M3" s="7">
        <v>43276</v>
      </c>
      <c r="N3" s="8">
        <v>16</v>
      </c>
      <c r="O3" s="8" t="str">
        <f>"000261"</f>
        <v>000261</v>
      </c>
      <c r="P3" s="7">
        <v>43564</v>
      </c>
      <c r="Q3" s="10">
        <v>5.6312499999999996</v>
      </c>
      <c r="R3" s="10">
        <v>0.11262</v>
      </c>
      <c r="S3" s="10">
        <v>5.5186299999999999</v>
      </c>
      <c r="T3" s="8">
        <v>11</v>
      </c>
      <c r="U3" s="7">
        <v>43566</v>
      </c>
      <c r="V3" s="8">
        <v>9844317136</v>
      </c>
      <c r="W3" s="9" t="s">
        <v>62</v>
      </c>
      <c r="X3" s="8" t="s">
        <v>29</v>
      </c>
      <c r="Y3" s="9" t="s">
        <v>30</v>
      </c>
      <c r="Z3" s="8" t="s">
        <v>48</v>
      </c>
      <c r="AA3" s="9" t="s">
        <v>49</v>
      </c>
      <c r="AB3" s="10">
        <f t="shared" si="0"/>
        <v>5.6312499999999995E-2</v>
      </c>
    </row>
    <row r="4" spans="1:28" s="4" customFormat="1" ht="13" x14ac:dyDescent="0.3">
      <c r="A4" s="5">
        <v>328</v>
      </c>
      <c r="B4" s="6" t="s">
        <v>28</v>
      </c>
      <c r="C4" s="7">
        <v>43566</v>
      </c>
      <c r="D4" s="8">
        <v>8</v>
      </c>
      <c r="E4" s="9" t="s">
        <v>57</v>
      </c>
      <c r="F4" s="8" t="s">
        <v>63</v>
      </c>
      <c r="G4" s="9" t="s">
        <v>64</v>
      </c>
      <c r="H4" s="8" t="str">
        <f>"000203"</f>
        <v>000203</v>
      </c>
      <c r="I4" s="7">
        <v>42802</v>
      </c>
      <c r="J4" s="8" t="str">
        <f>"000050"</f>
        <v>000050</v>
      </c>
      <c r="K4" s="7">
        <v>42916</v>
      </c>
      <c r="L4" s="8" t="str">
        <f>"000183"</f>
        <v>000183</v>
      </c>
      <c r="M4" s="7">
        <v>42916</v>
      </c>
      <c r="N4" s="8">
        <v>17</v>
      </c>
      <c r="O4" s="8" t="str">
        <f>"000114"</f>
        <v>000114</v>
      </c>
      <c r="P4" s="7">
        <v>43563</v>
      </c>
      <c r="Q4" s="10">
        <v>5.4550400000000003</v>
      </c>
      <c r="R4" s="10">
        <v>0.33276</v>
      </c>
      <c r="S4" s="10">
        <v>5.1222799999999999</v>
      </c>
      <c r="T4" s="8">
        <v>12</v>
      </c>
      <c r="U4" s="7">
        <v>43566</v>
      </c>
      <c r="V4" s="8">
        <v>9845641836</v>
      </c>
      <c r="W4" s="9" t="s">
        <v>65</v>
      </c>
      <c r="X4" s="8" t="s">
        <v>40</v>
      </c>
      <c r="Y4" s="9" t="s">
        <v>41</v>
      </c>
      <c r="Z4" s="8" t="s">
        <v>48</v>
      </c>
      <c r="AA4" s="9" t="s">
        <v>49</v>
      </c>
      <c r="AB4" s="10">
        <f t="shared" si="0"/>
        <v>5.4550400000000006E-2</v>
      </c>
    </row>
    <row r="5" spans="1:28" s="4" customFormat="1" ht="13" x14ac:dyDescent="0.3">
      <c r="A5" s="5">
        <v>329</v>
      </c>
      <c r="B5" s="6" t="s">
        <v>28</v>
      </c>
      <c r="C5" s="7">
        <v>43567</v>
      </c>
      <c r="D5" s="8">
        <v>8</v>
      </c>
      <c r="E5" s="9" t="s">
        <v>57</v>
      </c>
      <c r="F5" s="8" t="s">
        <v>66</v>
      </c>
      <c r="G5" s="9" t="s">
        <v>67</v>
      </c>
      <c r="H5" s="8" t="str">
        <f>"000030"</f>
        <v>000030</v>
      </c>
      <c r="I5" s="7">
        <v>42760</v>
      </c>
      <c r="J5" s="8" t="str">
        <f>"000028"</f>
        <v>000028</v>
      </c>
      <c r="K5" s="7">
        <v>42866</v>
      </c>
      <c r="L5" s="8" t="str">
        <f>"000028"</f>
        <v>000028</v>
      </c>
      <c r="M5" s="7">
        <v>42867</v>
      </c>
      <c r="N5" s="8">
        <v>16</v>
      </c>
      <c r="O5" s="8" t="str">
        <f>"006424"</f>
        <v>006424</v>
      </c>
      <c r="P5" s="7">
        <v>43012</v>
      </c>
      <c r="Q5" s="10">
        <v>2.97404</v>
      </c>
      <c r="R5" s="10">
        <v>0.20641000000000001</v>
      </c>
      <c r="S5" s="10">
        <v>2.76763</v>
      </c>
      <c r="T5" s="8">
        <v>17</v>
      </c>
      <c r="U5" s="7">
        <v>43567</v>
      </c>
      <c r="V5" s="8">
        <v>9845361818</v>
      </c>
      <c r="W5" s="9" t="s">
        <v>68</v>
      </c>
      <c r="X5" s="8" t="s">
        <v>31</v>
      </c>
      <c r="Y5" s="9" t="s">
        <v>32</v>
      </c>
      <c r="Z5" s="8" t="s">
        <v>33</v>
      </c>
      <c r="AA5" s="9" t="s">
        <v>34</v>
      </c>
      <c r="AB5" s="10">
        <f t="shared" si="0"/>
        <v>2.97404E-2</v>
      </c>
    </row>
    <row r="6" spans="1:28" s="4" customFormat="1" ht="13" x14ac:dyDescent="0.3">
      <c r="A6" s="5">
        <v>330</v>
      </c>
      <c r="B6" s="6" t="s">
        <v>28</v>
      </c>
      <c r="C6" s="7">
        <v>43567</v>
      </c>
      <c r="D6" s="8">
        <v>8</v>
      </c>
      <c r="E6" s="9" t="s">
        <v>57</v>
      </c>
      <c r="F6" s="8" t="s">
        <v>66</v>
      </c>
      <c r="G6" s="9" t="s">
        <v>67</v>
      </c>
      <c r="H6" s="8" t="str">
        <f>"000030"</f>
        <v>000030</v>
      </c>
      <c r="I6" s="7">
        <v>42760</v>
      </c>
      <c r="J6" s="8" t="str">
        <f>"000028"</f>
        <v>000028</v>
      </c>
      <c r="K6" s="7">
        <v>42866</v>
      </c>
      <c r="L6" s="8" t="str">
        <f>"000028"</f>
        <v>000028</v>
      </c>
      <c r="M6" s="7">
        <v>42867</v>
      </c>
      <c r="N6" s="8">
        <v>16</v>
      </c>
      <c r="O6" s="8" t="str">
        <f>"006424"</f>
        <v>006424</v>
      </c>
      <c r="P6" s="7">
        <v>43012</v>
      </c>
      <c r="Q6" s="10">
        <v>7.4350899999999998</v>
      </c>
      <c r="R6" s="10">
        <v>0.73909000000000002</v>
      </c>
      <c r="S6" s="10">
        <v>6.6959999999999997</v>
      </c>
      <c r="T6" s="8">
        <v>17</v>
      </c>
      <c r="U6" s="7">
        <v>43567</v>
      </c>
      <c r="V6" s="8">
        <v>9448762931</v>
      </c>
      <c r="W6" s="9" t="s">
        <v>69</v>
      </c>
      <c r="X6" s="8" t="s">
        <v>31</v>
      </c>
      <c r="Y6" s="9" t="s">
        <v>32</v>
      </c>
      <c r="Z6" s="8" t="s">
        <v>33</v>
      </c>
      <c r="AA6" s="9" t="s">
        <v>34</v>
      </c>
      <c r="AB6" s="10">
        <f t="shared" si="0"/>
        <v>7.4350899999999998E-2</v>
      </c>
    </row>
    <row r="7" spans="1:28" s="4" customFormat="1" ht="13" x14ac:dyDescent="0.3">
      <c r="A7" s="5">
        <v>331</v>
      </c>
      <c r="B7" s="6" t="s">
        <v>28</v>
      </c>
      <c r="C7" s="7">
        <v>43575</v>
      </c>
      <c r="D7" s="8">
        <v>8</v>
      </c>
      <c r="E7" s="9" t="s">
        <v>57</v>
      </c>
      <c r="F7" s="8" t="s">
        <v>66</v>
      </c>
      <c r="G7" s="9" t="s">
        <v>67</v>
      </c>
      <c r="H7" s="8" t="str">
        <f>"000030"</f>
        <v>000030</v>
      </c>
      <c r="I7" s="7">
        <v>42760</v>
      </c>
      <c r="J7" s="8" t="str">
        <f>"000028"</f>
        <v>000028</v>
      </c>
      <c r="K7" s="7">
        <v>42866</v>
      </c>
      <c r="L7" s="8" t="str">
        <f>"000028"</f>
        <v>000028</v>
      </c>
      <c r="M7" s="7">
        <v>42867</v>
      </c>
      <c r="N7" s="8">
        <v>16</v>
      </c>
      <c r="O7" s="8" t="str">
        <f>"006424"</f>
        <v>006424</v>
      </c>
      <c r="P7" s="7">
        <v>43012</v>
      </c>
      <c r="Q7" s="10">
        <v>5.9480700000000004</v>
      </c>
      <c r="R7" s="10">
        <v>0.72667000000000004</v>
      </c>
      <c r="S7" s="10">
        <v>5.2214</v>
      </c>
      <c r="T7" s="8">
        <v>20</v>
      </c>
      <c r="U7" s="7">
        <v>43575</v>
      </c>
      <c r="V7" s="8">
        <v>9448762931</v>
      </c>
      <c r="W7" s="9" t="s">
        <v>69</v>
      </c>
      <c r="X7" s="8" t="s">
        <v>31</v>
      </c>
      <c r="Y7" s="9" t="s">
        <v>32</v>
      </c>
      <c r="Z7" s="8" t="s">
        <v>33</v>
      </c>
      <c r="AA7" s="9" t="s">
        <v>34</v>
      </c>
      <c r="AB7" s="10">
        <f t="shared" si="0"/>
        <v>5.9480700000000004E-2</v>
      </c>
    </row>
    <row r="8" spans="1:28" s="4" customFormat="1" ht="13" x14ac:dyDescent="0.3">
      <c r="A8" s="5">
        <v>332</v>
      </c>
      <c r="B8" s="6" t="s">
        <v>28</v>
      </c>
      <c r="C8" s="7">
        <v>43580</v>
      </c>
      <c r="D8" s="8">
        <v>8</v>
      </c>
      <c r="E8" s="9" t="s">
        <v>57</v>
      </c>
      <c r="F8" s="8" t="s">
        <v>66</v>
      </c>
      <c r="G8" s="9" t="s">
        <v>67</v>
      </c>
      <c r="H8" s="8" t="str">
        <f>"000030"</f>
        <v>000030</v>
      </c>
      <c r="I8" s="7">
        <v>42760</v>
      </c>
      <c r="J8" s="8" t="str">
        <f>"000028"</f>
        <v>000028</v>
      </c>
      <c r="K8" s="7">
        <v>42866</v>
      </c>
      <c r="L8" s="8" t="str">
        <f>"000028"</f>
        <v>000028</v>
      </c>
      <c r="M8" s="7">
        <v>42867</v>
      </c>
      <c r="N8" s="8">
        <v>16</v>
      </c>
      <c r="O8" s="8" t="str">
        <f>"006424"</f>
        <v>006424</v>
      </c>
      <c r="P8" s="7">
        <v>43012</v>
      </c>
      <c r="Q8" s="10">
        <v>2.97403</v>
      </c>
      <c r="R8" s="10">
        <v>0.67174999999999996</v>
      </c>
      <c r="S8" s="10">
        <v>2.3022800000000001</v>
      </c>
      <c r="T8" s="8">
        <v>29</v>
      </c>
      <c r="U8" s="7">
        <v>43580</v>
      </c>
      <c r="V8" s="8">
        <v>9448762931</v>
      </c>
      <c r="W8" s="9" t="s">
        <v>69</v>
      </c>
      <c r="X8" s="8" t="s">
        <v>31</v>
      </c>
      <c r="Y8" s="9" t="s">
        <v>32</v>
      </c>
      <c r="Z8" s="8" t="s">
        <v>33</v>
      </c>
      <c r="AA8" s="9" t="s">
        <v>34</v>
      </c>
      <c r="AB8" s="10">
        <f t="shared" si="0"/>
        <v>2.9740300000000001E-2</v>
      </c>
    </row>
    <row r="9" spans="1:28" s="4" customFormat="1" ht="13" x14ac:dyDescent="0.3">
      <c r="A9" s="5">
        <v>333</v>
      </c>
      <c r="B9" s="6" t="s">
        <v>42</v>
      </c>
      <c r="C9" s="7">
        <v>43588</v>
      </c>
      <c r="D9" s="8">
        <v>8</v>
      </c>
      <c r="E9" s="9" t="s">
        <v>57</v>
      </c>
      <c r="F9" s="8" t="s">
        <v>88</v>
      </c>
      <c r="G9" s="9" t="s">
        <v>89</v>
      </c>
      <c r="H9" s="8" t="str">
        <f>"000148"</f>
        <v>000148</v>
      </c>
      <c r="I9" s="7">
        <v>43395</v>
      </c>
      <c r="J9" s="8" t="str">
        <f>"000076"</f>
        <v>000076</v>
      </c>
      <c r="K9" s="7">
        <v>43512</v>
      </c>
      <c r="L9" s="8" t="str">
        <f>"000222"</f>
        <v>000222</v>
      </c>
      <c r="M9" s="7">
        <v>43512</v>
      </c>
      <c r="N9" s="8">
        <v>18</v>
      </c>
      <c r="O9" s="8" t="str">
        <f>"001143"</f>
        <v>001143</v>
      </c>
      <c r="P9" s="7">
        <v>43581</v>
      </c>
      <c r="Q9" s="10">
        <v>319.86257000000001</v>
      </c>
      <c r="R9" s="10">
        <v>19.662649999999999</v>
      </c>
      <c r="S9" s="10">
        <v>300.19992000000002</v>
      </c>
      <c r="T9" s="8">
        <v>33</v>
      </c>
      <c r="U9" s="7">
        <v>43588</v>
      </c>
      <c r="V9" s="8">
        <v>9448279709</v>
      </c>
      <c r="W9" s="9" t="s">
        <v>90</v>
      </c>
      <c r="X9" s="8" t="s">
        <v>35</v>
      </c>
      <c r="Y9" s="9" t="s">
        <v>36</v>
      </c>
      <c r="Z9" s="8" t="s">
        <v>48</v>
      </c>
      <c r="AA9" s="9" t="s">
        <v>49</v>
      </c>
      <c r="AB9" s="10">
        <f t="shared" si="0"/>
        <v>3.1986257</v>
      </c>
    </row>
    <row r="10" spans="1:28" s="4" customFormat="1" ht="13" x14ac:dyDescent="0.3">
      <c r="A10" s="5">
        <v>334</v>
      </c>
      <c r="B10" s="6" t="s">
        <v>42</v>
      </c>
      <c r="C10" s="7">
        <v>43588</v>
      </c>
      <c r="D10" s="8">
        <v>8</v>
      </c>
      <c r="E10" s="9" t="s">
        <v>57</v>
      </c>
      <c r="F10" s="8" t="s">
        <v>88</v>
      </c>
      <c r="G10" s="9" t="s">
        <v>89</v>
      </c>
      <c r="H10" s="8" t="str">
        <f>"000148"</f>
        <v>000148</v>
      </c>
      <c r="I10" s="7">
        <v>43395</v>
      </c>
      <c r="J10" s="8" t="str">
        <f>"000076"</f>
        <v>000076</v>
      </c>
      <c r="K10" s="7">
        <v>43512</v>
      </c>
      <c r="L10" s="8" t="str">
        <f>"000222"</f>
        <v>000222</v>
      </c>
      <c r="M10" s="7">
        <v>43512</v>
      </c>
      <c r="N10" s="8">
        <v>18</v>
      </c>
      <c r="O10" s="8" t="str">
        <f>"001143"</f>
        <v>001143</v>
      </c>
      <c r="P10" s="7">
        <v>43581</v>
      </c>
      <c r="Q10" s="10">
        <v>353.7011</v>
      </c>
      <c r="R10" s="10">
        <v>17.280830000000002</v>
      </c>
      <c r="S10" s="10">
        <v>336.42027000000002</v>
      </c>
      <c r="T10" s="8">
        <v>33</v>
      </c>
      <c r="U10" s="7">
        <v>43588</v>
      </c>
      <c r="V10" s="8">
        <v>9448279709</v>
      </c>
      <c r="W10" s="9" t="s">
        <v>90</v>
      </c>
      <c r="X10" s="8" t="s">
        <v>35</v>
      </c>
      <c r="Y10" s="9" t="s">
        <v>36</v>
      </c>
      <c r="Z10" s="8" t="s">
        <v>48</v>
      </c>
      <c r="AA10" s="9" t="s">
        <v>49</v>
      </c>
      <c r="AB10" s="10">
        <f t="shared" si="0"/>
        <v>3.5370110000000001</v>
      </c>
    </row>
    <row r="11" spans="1:28" s="4" customFormat="1" ht="13" x14ac:dyDescent="0.3">
      <c r="A11" s="5">
        <v>335</v>
      </c>
      <c r="B11" s="6" t="s">
        <v>42</v>
      </c>
      <c r="C11" s="7">
        <v>43602</v>
      </c>
      <c r="D11" s="8">
        <v>8</v>
      </c>
      <c r="E11" s="9" t="s">
        <v>57</v>
      </c>
      <c r="F11" s="8" t="s">
        <v>91</v>
      </c>
      <c r="G11" s="9" t="s">
        <v>92</v>
      </c>
      <c r="H11" s="8" t="str">
        <f>"000236"</f>
        <v>000236</v>
      </c>
      <c r="I11" s="7">
        <v>42426</v>
      </c>
      <c r="J11" s="8" t="str">
        <f>"000003"</f>
        <v>000003</v>
      </c>
      <c r="K11" s="7">
        <v>42991</v>
      </c>
      <c r="L11" s="8" t="str">
        <f>"000013"</f>
        <v>000013</v>
      </c>
      <c r="M11" s="7">
        <v>42991</v>
      </c>
      <c r="N11" s="8">
        <v>16</v>
      </c>
      <c r="O11" s="8" t="str">
        <f>"001541"</f>
        <v>001541</v>
      </c>
      <c r="P11" s="7">
        <v>43599</v>
      </c>
      <c r="Q11" s="10">
        <v>4.6380499999999998</v>
      </c>
      <c r="R11" s="10">
        <v>0.25656000000000001</v>
      </c>
      <c r="S11" s="10">
        <v>4.3814900000000003</v>
      </c>
      <c r="T11" s="8">
        <v>49</v>
      </c>
      <c r="U11" s="7">
        <v>43602</v>
      </c>
      <c r="V11" s="8">
        <v>9845818296</v>
      </c>
      <c r="W11" s="9" t="s">
        <v>93</v>
      </c>
      <c r="X11" s="8" t="s">
        <v>40</v>
      </c>
      <c r="Y11" s="9" t="s">
        <v>41</v>
      </c>
      <c r="Z11" s="8" t="s">
        <v>48</v>
      </c>
      <c r="AA11" s="9" t="s">
        <v>49</v>
      </c>
      <c r="AB11" s="10">
        <f t="shared" si="0"/>
        <v>4.6380499999999998E-2</v>
      </c>
    </row>
    <row r="12" spans="1:28" s="4" customFormat="1" ht="13" x14ac:dyDescent="0.3">
      <c r="A12" s="5">
        <v>336</v>
      </c>
      <c r="B12" s="6" t="s">
        <v>42</v>
      </c>
      <c r="C12" s="7">
        <v>43602</v>
      </c>
      <c r="D12" s="8">
        <v>8</v>
      </c>
      <c r="E12" s="9" t="s">
        <v>57</v>
      </c>
      <c r="F12" s="8" t="s">
        <v>94</v>
      </c>
      <c r="G12" s="9" t="s">
        <v>95</v>
      </c>
      <c r="H12" s="8" t="str">
        <f>"00188 "</f>
        <v xml:space="preserve">00188 </v>
      </c>
      <c r="I12" s="7">
        <v>42802</v>
      </c>
      <c r="J12" s="8" t="str">
        <f>"000008"</f>
        <v>000008</v>
      </c>
      <c r="K12" s="7">
        <v>42998</v>
      </c>
      <c r="L12" s="8" t="str">
        <f>"000021"</f>
        <v>000021</v>
      </c>
      <c r="M12" s="7">
        <v>43000</v>
      </c>
      <c r="N12" s="8">
        <v>17</v>
      </c>
      <c r="O12" s="8" t="str">
        <f>"001544"</f>
        <v>001544</v>
      </c>
      <c r="P12" s="7">
        <v>43599</v>
      </c>
      <c r="Q12" s="10">
        <v>13.41911</v>
      </c>
      <c r="R12" s="10">
        <v>0.55018</v>
      </c>
      <c r="S12" s="10">
        <v>12.868930000000001</v>
      </c>
      <c r="T12" s="8">
        <v>49</v>
      </c>
      <c r="U12" s="7">
        <v>43602</v>
      </c>
      <c r="V12" s="8">
        <v>9448000937</v>
      </c>
      <c r="W12" s="9" t="s">
        <v>96</v>
      </c>
      <c r="X12" s="8" t="s">
        <v>40</v>
      </c>
      <c r="Y12" s="9" t="s">
        <v>41</v>
      </c>
      <c r="Z12" s="8" t="s">
        <v>48</v>
      </c>
      <c r="AA12" s="9" t="s">
        <v>49</v>
      </c>
      <c r="AB12" s="10">
        <f t="shared" si="0"/>
        <v>0.13419110000000001</v>
      </c>
    </row>
    <row r="13" spans="1:28" s="4" customFormat="1" ht="13" x14ac:dyDescent="0.3">
      <c r="A13" s="5">
        <v>337</v>
      </c>
      <c r="B13" s="6" t="s">
        <v>42</v>
      </c>
      <c r="C13" s="7">
        <v>43614</v>
      </c>
      <c r="D13" s="8">
        <v>8</v>
      </c>
      <c r="E13" s="9" t="s">
        <v>57</v>
      </c>
      <c r="F13" s="8" t="s">
        <v>97</v>
      </c>
      <c r="G13" s="9" t="s">
        <v>98</v>
      </c>
      <c r="H13" s="8" t="str">
        <f>"000003"</f>
        <v>000003</v>
      </c>
      <c r="I13" s="7">
        <v>43015</v>
      </c>
      <c r="J13" s="8" t="str">
        <f>"000001"</f>
        <v>000001</v>
      </c>
      <c r="K13" s="7">
        <v>43210</v>
      </c>
      <c r="L13" s="8" t="str">
        <f>"000005"</f>
        <v>000005</v>
      </c>
      <c r="M13" s="7">
        <v>43213</v>
      </c>
      <c r="N13" s="8">
        <v>17</v>
      </c>
      <c r="O13" s="8" t="str">
        <f>"002079"</f>
        <v>002079</v>
      </c>
      <c r="P13" s="7">
        <v>43610</v>
      </c>
      <c r="Q13" s="10">
        <v>44.437829999999998</v>
      </c>
      <c r="R13" s="10">
        <v>1.4709000000000001</v>
      </c>
      <c r="S13" s="10">
        <v>42.966929999999998</v>
      </c>
      <c r="T13" s="8">
        <v>64</v>
      </c>
      <c r="U13" s="7">
        <v>43614</v>
      </c>
      <c r="V13" s="8">
        <v>7760405418</v>
      </c>
      <c r="W13" s="9" t="s">
        <v>99</v>
      </c>
      <c r="X13" s="8" t="s">
        <v>40</v>
      </c>
      <c r="Y13" s="9" t="s">
        <v>41</v>
      </c>
      <c r="Z13" s="8" t="s">
        <v>48</v>
      </c>
      <c r="AA13" s="9" t="s">
        <v>49</v>
      </c>
      <c r="AB13" s="10">
        <f t="shared" si="0"/>
        <v>0.4443783</v>
      </c>
    </row>
    <row r="14" spans="1:28" s="4" customFormat="1" ht="13" x14ac:dyDescent="0.3">
      <c r="A14" s="5">
        <v>338</v>
      </c>
      <c r="B14" s="6" t="s">
        <v>39</v>
      </c>
      <c r="C14" s="7">
        <v>43617</v>
      </c>
      <c r="D14" s="8">
        <v>8</v>
      </c>
      <c r="E14" s="9" t="s">
        <v>57</v>
      </c>
      <c r="F14" s="8" t="s">
        <v>70</v>
      </c>
      <c r="G14" s="9" t="s">
        <v>71</v>
      </c>
      <c r="H14" s="8" t="str">
        <f>"000024"</f>
        <v>000024</v>
      </c>
      <c r="I14" s="7">
        <v>42700</v>
      </c>
      <c r="J14" s="8" t="str">
        <f>"000176"</f>
        <v>000176</v>
      </c>
      <c r="K14" s="7">
        <v>43540</v>
      </c>
      <c r="L14" s="8" t="str">
        <f>"000176"</f>
        <v>000176</v>
      </c>
      <c r="M14" s="7">
        <v>43540</v>
      </c>
      <c r="N14" s="8">
        <v>16</v>
      </c>
      <c r="O14" s="8" t="str">
        <f>"002047"</f>
        <v>002047</v>
      </c>
      <c r="P14" s="7">
        <v>43609</v>
      </c>
      <c r="Q14" s="10">
        <v>5.8</v>
      </c>
      <c r="R14" s="10">
        <v>0.57999999999999996</v>
      </c>
      <c r="S14" s="10">
        <v>5.22</v>
      </c>
      <c r="T14" s="8">
        <v>68</v>
      </c>
      <c r="U14" s="7">
        <v>43617</v>
      </c>
      <c r="V14" s="8">
        <v>9972924526</v>
      </c>
      <c r="W14" s="9" t="s">
        <v>72</v>
      </c>
      <c r="X14" s="8" t="s">
        <v>43</v>
      </c>
      <c r="Y14" s="9" t="s">
        <v>44</v>
      </c>
      <c r="Z14" s="8" t="s">
        <v>37</v>
      </c>
      <c r="AA14" s="9" t="s">
        <v>38</v>
      </c>
      <c r="AB14" s="10">
        <v>5.7999999999999996E-2</v>
      </c>
    </row>
    <row r="15" spans="1:28" s="4" customFormat="1" ht="13" x14ac:dyDescent="0.3">
      <c r="A15" s="5">
        <v>339</v>
      </c>
      <c r="B15" s="6" t="s">
        <v>39</v>
      </c>
      <c r="C15" s="7">
        <v>43617</v>
      </c>
      <c r="D15" s="8">
        <v>8</v>
      </c>
      <c r="E15" s="9" t="s">
        <v>57</v>
      </c>
      <c r="F15" s="8" t="s">
        <v>70</v>
      </c>
      <c r="G15" s="9" t="s">
        <v>71</v>
      </c>
      <c r="H15" s="8" t="str">
        <f>"000024"</f>
        <v>000024</v>
      </c>
      <c r="I15" s="7">
        <v>42700</v>
      </c>
      <c r="J15" s="8" t="str">
        <f>"000176"</f>
        <v>000176</v>
      </c>
      <c r="K15" s="7">
        <v>43540</v>
      </c>
      <c r="L15" s="8" t="str">
        <f>"000176"</f>
        <v>000176</v>
      </c>
      <c r="M15" s="7">
        <v>43540</v>
      </c>
      <c r="N15" s="8">
        <v>16</v>
      </c>
      <c r="O15" s="8" t="str">
        <f>"002047"</f>
        <v>002047</v>
      </c>
      <c r="P15" s="7">
        <v>43609</v>
      </c>
      <c r="Q15" s="10">
        <v>162.92211</v>
      </c>
      <c r="R15" s="10">
        <v>8.0695599999999992</v>
      </c>
      <c r="S15" s="10">
        <v>154.85255000000001</v>
      </c>
      <c r="T15" s="8">
        <v>68</v>
      </c>
      <c r="U15" s="7">
        <v>43617</v>
      </c>
      <c r="V15" s="8">
        <v>9945568501</v>
      </c>
      <c r="W15" s="9" t="s">
        <v>73</v>
      </c>
      <c r="X15" s="8" t="s">
        <v>43</v>
      </c>
      <c r="Y15" s="9" t="s">
        <v>44</v>
      </c>
      <c r="Z15" s="8" t="s">
        <v>37</v>
      </c>
      <c r="AA15" s="9" t="s">
        <v>38</v>
      </c>
      <c r="AB15" s="10">
        <v>1.6292211000000001</v>
      </c>
    </row>
    <row r="16" spans="1:28" s="4" customFormat="1" ht="13" x14ac:dyDescent="0.3">
      <c r="A16" s="5">
        <v>340</v>
      </c>
      <c r="B16" s="6" t="s">
        <v>39</v>
      </c>
      <c r="C16" s="7">
        <v>43617</v>
      </c>
      <c r="D16" s="8">
        <v>8</v>
      </c>
      <c r="E16" s="9" t="s">
        <v>57</v>
      </c>
      <c r="F16" s="8" t="s">
        <v>74</v>
      </c>
      <c r="G16" s="9" t="s">
        <v>75</v>
      </c>
      <c r="H16" s="8" t="str">
        <f>"000017"</f>
        <v>000017</v>
      </c>
      <c r="I16" s="7">
        <v>43468</v>
      </c>
      <c r="J16" s="8" t="str">
        <f>"000015"</f>
        <v>000015</v>
      </c>
      <c r="K16" s="7">
        <v>43585</v>
      </c>
      <c r="L16" s="8" t="str">
        <f>"000015"</f>
        <v>000015</v>
      </c>
      <c r="M16" s="7">
        <v>43585</v>
      </c>
      <c r="N16" s="8">
        <v>18</v>
      </c>
      <c r="O16" s="8" t="str">
        <f>"002250"</f>
        <v>002250</v>
      </c>
      <c r="P16" s="7">
        <v>43614</v>
      </c>
      <c r="Q16" s="10">
        <v>22.062580000000001</v>
      </c>
      <c r="R16" s="10">
        <v>2.7804799999999998</v>
      </c>
      <c r="S16" s="10">
        <v>19.2821</v>
      </c>
      <c r="T16" s="8">
        <v>69</v>
      </c>
      <c r="U16" s="7">
        <v>43617</v>
      </c>
      <c r="V16" s="8">
        <v>9449863064</v>
      </c>
      <c r="W16" s="9" t="s">
        <v>45</v>
      </c>
      <c r="X16" s="8" t="s">
        <v>76</v>
      </c>
      <c r="Y16" s="9" t="s">
        <v>77</v>
      </c>
      <c r="Z16" s="8" t="s">
        <v>37</v>
      </c>
      <c r="AA16" s="9" t="s">
        <v>38</v>
      </c>
      <c r="AB16" s="10">
        <v>0.22062580000000001</v>
      </c>
    </row>
    <row r="17" spans="1:28" s="4" customFormat="1" ht="13" x14ac:dyDescent="0.3">
      <c r="A17" s="5">
        <v>341</v>
      </c>
      <c r="B17" s="6" t="s">
        <v>39</v>
      </c>
      <c r="C17" s="7">
        <v>43617</v>
      </c>
      <c r="D17" s="8">
        <v>8</v>
      </c>
      <c r="E17" s="9" t="s">
        <v>57</v>
      </c>
      <c r="F17" s="8" t="s">
        <v>78</v>
      </c>
      <c r="G17" s="9" t="s">
        <v>79</v>
      </c>
      <c r="H17" s="8" t="str">
        <f>"000014"</f>
        <v>000014</v>
      </c>
      <c r="I17" s="7">
        <v>43468</v>
      </c>
      <c r="J17" s="8" t="str">
        <f>"000016"</f>
        <v>000016</v>
      </c>
      <c r="K17" s="7">
        <v>43585</v>
      </c>
      <c r="L17" s="8" t="str">
        <f>"000016"</f>
        <v>000016</v>
      </c>
      <c r="M17" s="7">
        <v>43585</v>
      </c>
      <c r="N17" s="8">
        <v>18</v>
      </c>
      <c r="O17" s="8" t="str">
        <f>"002251"</f>
        <v>002251</v>
      </c>
      <c r="P17" s="7">
        <v>43614</v>
      </c>
      <c r="Q17" s="10">
        <v>97.082170000000005</v>
      </c>
      <c r="R17" s="10">
        <v>10.67118</v>
      </c>
      <c r="S17" s="10">
        <v>86.410989999999998</v>
      </c>
      <c r="T17" s="8">
        <v>69</v>
      </c>
      <c r="U17" s="7">
        <v>43617</v>
      </c>
      <c r="V17" s="8">
        <v>9449863064</v>
      </c>
      <c r="W17" s="9" t="s">
        <v>45</v>
      </c>
      <c r="X17" s="8" t="s">
        <v>46</v>
      </c>
      <c r="Y17" s="9" t="s">
        <v>47</v>
      </c>
      <c r="Z17" s="8" t="s">
        <v>37</v>
      </c>
      <c r="AA17" s="9" t="s">
        <v>38</v>
      </c>
      <c r="AB17" s="10">
        <v>0.97082170000000001</v>
      </c>
    </row>
    <row r="18" spans="1:28" s="4" customFormat="1" ht="13" x14ac:dyDescent="0.3">
      <c r="A18" s="5">
        <v>342</v>
      </c>
      <c r="B18" s="6" t="s">
        <v>39</v>
      </c>
      <c r="C18" s="7">
        <v>43617</v>
      </c>
      <c r="D18" s="8">
        <v>8</v>
      </c>
      <c r="E18" s="9" t="s">
        <v>57</v>
      </c>
      <c r="F18" s="8" t="s">
        <v>80</v>
      </c>
      <c r="G18" s="9" t="s">
        <v>81</v>
      </c>
      <c r="H18" s="8" t="str">
        <f>"000012"</f>
        <v>000012</v>
      </c>
      <c r="I18" s="7">
        <v>43468</v>
      </c>
      <c r="J18" s="8" t="str">
        <f>"000017"</f>
        <v>000017</v>
      </c>
      <c r="K18" s="7">
        <v>43585</v>
      </c>
      <c r="L18" s="8" t="str">
        <f>"000017"</f>
        <v>000017</v>
      </c>
      <c r="M18" s="7">
        <v>43585</v>
      </c>
      <c r="N18" s="8">
        <v>18</v>
      </c>
      <c r="O18" s="8" t="str">
        <f>"002252"</f>
        <v>002252</v>
      </c>
      <c r="P18" s="7">
        <v>43614</v>
      </c>
      <c r="Q18" s="10">
        <v>48.341119999999997</v>
      </c>
      <c r="R18" s="10">
        <v>5.5394899999999998</v>
      </c>
      <c r="S18" s="10">
        <v>42.801630000000003</v>
      </c>
      <c r="T18" s="8">
        <v>69</v>
      </c>
      <c r="U18" s="7">
        <v>43617</v>
      </c>
      <c r="V18" s="8">
        <v>9449863064</v>
      </c>
      <c r="W18" s="9" t="s">
        <v>45</v>
      </c>
      <c r="X18" s="8" t="s">
        <v>55</v>
      </c>
      <c r="Y18" s="9" t="s">
        <v>56</v>
      </c>
      <c r="Z18" s="8" t="s">
        <v>37</v>
      </c>
      <c r="AA18" s="9" t="s">
        <v>38</v>
      </c>
      <c r="AB18" s="10">
        <v>0.48341119999999999</v>
      </c>
    </row>
    <row r="19" spans="1:28" s="4" customFormat="1" ht="13" x14ac:dyDescent="0.3">
      <c r="A19" s="5">
        <v>343</v>
      </c>
      <c r="B19" s="6" t="s">
        <v>39</v>
      </c>
      <c r="C19" s="7">
        <v>43617</v>
      </c>
      <c r="D19" s="8">
        <v>8</v>
      </c>
      <c r="E19" s="9" t="s">
        <v>57</v>
      </c>
      <c r="F19" s="8" t="s">
        <v>82</v>
      </c>
      <c r="G19" s="9" t="s">
        <v>83</v>
      </c>
      <c r="H19" s="8" t="str">
        <f>"000117"</f>
        <v>000117</v>
      </c>
      <c r="I19" s="7">
        <v>43179</v>
      </c>
      <c r="J19" s="8" t="str">
        <f>"000077"</f>
        <v>000077</v>
      </c>
      <c r="K19" s="7">
        <v>43514</v>
      </c>
      <c r="L19" s="8" t="str">
        <f>"000232"</f>
        <v>000232</v>
      </c>
      <c r="M19" s="7">
        <v>43529</v>
      </c>
      <c r="N19" s="8">
        <v>17</v>
      </c>
      <c r="O19" s="8" t="str">
        <f>"002262"</f>
        <v>002262</v>
      </c>
      <c r="P19" s="7">
        <v>43614</v>
      </c>
      <c r="Q19" s="10">
        <v>5.2839700000000001</v>
      </c>
      <c r="R19" s="10">
        <v>0.11096</v>
      </c>
      <c r="S19" s="10">
        <v>5.1730099999999997</v>
      </c>
      <c r="T19" s="8">
        <v>69</v>
      </c>
      <c r="U19" s="7">
        <v>43617</v>
      </c>
      <c r="V19" s="8">
        <v>9448000937</v>
      </c>
      <c r="W19" s="9" t="s">
        <v>50</v>
      </c>
      <c r="X19" s="8" t="s">
        <v>51</v>
      </c>
      <c r="Y19" s="9" t="s">
        <v>52</v>
      </c>
      <c r="Z19" s="8" t="s">
        <v>48</v>
      </c>
      <c r="AA19" s="9" t="s">
        <v>49</v>
      </c>
      <c r="AB19" s="10">
        <v>5.2839700000000003E-2</v>
      </c>
    </row>
    <row r="20" spans="1:28" s="4" customFormat="1" ht="13" x14ac:dyDescent="0.3">
      <c r="A20" s="5">
        <v>344</v>
      </c>
      <c r="B20" s="6" t="s">
        <v>39</v>
      </c>
      <c r="C20" s="7">
        <v>43628</v>
      </c>
      <c r="D20" s="8">
        <v>8</v>
      </c>
      <c r="E20" s="9" t="s">
        <v>57</v>
      </c>
      <c r="F20" s="8" t="s">
        <v>84</v>
      </c>
      <c r="G20" s="9" t="s">
        <v>85</v>
      </c>
      <c r="H20" s="8" t="str">
        <f>"000011"</f>
        <v>000011</v>
      </c>
      <c r="I20" s="7">
        <v>43468</v>
      </c>
      <c r="J20" s="8" t="str">
        <f>"000020"</f>
        <v>000020</v>
      </c>
      <c r="K20" s="7">
        <v>43589</v>
      </c>
      <c r="L20" s="8" t="str">
        <f>"000021"</f>
        <v>000021</v>
      </c>
      <c r="M20" s="7">
        <v>43594</v>
      </c>
      <c r="N20" s="8">
        <v>18</v>
      </c>
      <c r="O20" s="8" t="str">
        <f>"002520"</f>
        <v>002520</v>
      </c>
      <c r="P20" s="7">
        <v>43622</v>
      </c>
      <c r="Q20" s="10">
        <v>24.646170000000001</v>
      </c>
      <c r="R20" s="10">
        <v>2.5612499999999998</v>
      </c>
      <c r="S20" s="10">
        <v>22.08492</v>
      </c>
      <c r="T20" s="8">
        <v>78</v>
      </c>
      <c r="U20" s="7">
        <v>43628</v>
      </c>
      <c r="V20" s="8">
        <v>9449863064</v>
      </c>
      <c r="W20" s="9" t="s">
        <v>45</v>
      </c>
      <c r="X20" s="8" t="s">
        <v>86</v>
      </c>
      <c r="Y20" s="9" t="s">
        <v>87</v>
      </c>
      <c r="Z20" s="8" t="s">
        <v>37</v>
      </c>
      <c r="AA20" s="9" t="s">
        <v>38</v>
      </c>
      <c r="AB20" s="10">
        <v>0.24646170000000001</v>
      </c>
    </row>
    <row r="21" spans="1:28" s="4" customFormat="1" ht="13" x14ac:dyDescent="0.3">
      <c r="A21" s="5">
        <v>345</v>
      </c>
      <c r="B21" s="6" t="s">
        <v>100</v>
      </c>
      <c r="C21" s="7">
        <v>43654</v>
      </c>
      <c r="D21" s="8">
        <v>8</v>
      </c>
      <c r="E21" s="9" t="s">
        <v>57</v>
      </c>
      <c r="F21" s="8" t="s">
        <v>66</v>
      </c>
      <c r="G21" s="11" t="s">
        <v>67</v>
      </c>
      <c r="H21" s="8" t="str">
        <f>"000030"</f>
        <v>000030</v>
      </c>
      <c r="I21" s="7">
        <v>42760</v>
      </c>
      <c r="J21" s="8" t="str">
        <f>"000014"</f>
        <v>000014</v>
      </c>
      <c r="K21" s="7">
        <v>43223</v>
      </c>
      <c r="L21" s="8" t="str">
        <f>"000014"</f>
        <v>000014</v>
      </c>
      <c r="M21" s="7">
        <v>43223</v>
      </c>
      <c r="N21" s="8">
        <v>16</v>
      </c>
      <c r="O21" s="8" t="str">
        <f>"000339"</f>
        <v>000339</v>
      </c>
      <c r="P21" s="7">
        <v>43566</v>
      </c>
      <c r="Q21" s="12">
        <v>4.4093</v>
      </c>
      <c r="R21" s="12">
        <v>0.51898999999999995</v>
      </c>
      <c r="S21" s="12">
        <v>3.8903099999999999</v>
      </c>
      <c r="T21" s="8">
        <v>109</v>
      </c>
      <c r="U21" s="7">
        <v>43654</v>
      </c>
      <c r="V21" s="8">
        <v>9448762931</v>
      </c>
      <c r="W21" s="11" t="s">
        <v>69</v>
      </c>
      <c r="X21" s="8" t="s">
        <v>31</v>
      </c>
      <c r="Y21" s="11" t="s">
        <v>32</v>
      </c>
      <c r="Z21" s="8" t="s">
        <v>33</v>
      </c>
      <c r="AA21" s="11" t="s">
        <v>34</v>
      </c>
      <c r="AB21" s="12">
        <f t="shared" ref="AB21:AB28" si="1">Q21/100</f>
        <v>4.4093E-2</v>
      </c>
    </row>
    <row r="22" spans="1:28" s="4" customFormat="1" ht="13" x14ac:dyDescent="0.3">
      <c r="A22" s="5">
        <v>346</v>
      </c>
      <c r="B22" s="6" t="s">
        <v>100</v>
      </c>
      <c r="C22" s="7">
        <v>43668</v>
      </c>
      <c r="D22" s="8">
        <v>8</v>
      </c>
      <c r="E22" s="9" t="s">
        <v>57</v>
      </c>
      <c r="F22" s="8" t="s">
        <v>101</v>
      </c>
      <c r="G22" s="11" t="s">
        <v>102</v>
      </c>
      <c r="H22" s="8" t="str">
        <f>"000260"</f>
        <v>000260</v>
      </c>
      <c r="I22" s="7">
        <v>43532</v>
      </c>
      <c r="J22" s="8" t="str">
        <f>"000013"</f>
        <v>000013</v>
      </c>
      <c r="K22" s="7">
        <v>43616</v>
      </c>
      <c r="L22" s="8" t="str">
        <f>"000042"</f>
        <v>000042</v>
      </c>
      <c r="M22" s="7">
        <v>43631</v>
      </c>
      <c r="N22" s="8">
        <v>18</v>
      </c>
      <c r="O22" s="8" t="str">
        <f>"003763"</f>
        <v>003763</v>
      </c>
      <c r="P22" s="7">
        <v>43664</v>
      </c>
      <c r="Q22" s="12">
        <v>9.6489799999999999</v>
      </c>
      <c r="R22" s="12">
        <v>1.0186900000000001</v>
      </c>
      <c r="S22" s="12">
        <v>8.6302900000000005</v>
      </c>
      <c r="T22" s="8">
        <v>119</v>
      </c>
      <c r="U22" s="7">
        <v>43668</v>
      </c>
      <c r="V22" s="8">
        <v>9342471293</v>
      </c>
      <c r="W22" s="11" t="s">
        <v>103</v>
      </c>
      <c r="X22" s="8" t="s">
        <v>76</v>
      </c>
      <c r="Y22" s="11" t="s">
        <v>77</v>
      </c>
      <c r="Z22" s="8" t="s">
        <v>48</v>
      </c>
      <c r="AA22" s="11" t="s">
        <v>49</v>
      </c>
      <c r="AB22" s="12">
        <f t="shared" si="1"/>
        <v>9.6489800000000001E-2</v>
      </c>
    </row>
    <row r="23" spans="1:28" s="4" customFormat="1" ht="13" x14ac:dyDescent="0.3">
      <c r="A23" s="5">
        <v>347</v>
      </c>
      <c r="B23" s="6" t="s">
        <v>100</v>
      </c>
      <c r="C23" s="7">
        <v>43668</v>
      </c>
      <c r="D23" s="8">
        <v>8</v>
      </c>
      <c r="E23" s="9" t="s">
        <v>57</v>
      </c>
      <c r="F23" s="8" t="s">
        <v>104</v>
      </c>
      <c r="G23" s="11" t="s">
        <v>105</v>
      </c>
      <c r="H23" s="8" t="str">
        <f>"000259"</f>
        <v>000259</v>
      </c>
      <c r="I23" s="7">
        <v>43532</v>
      </c>
      <c r="J23" s="8" t="str">
        <f>"000014"</f>
        <v>000014</v>
      </c>
      <c r="K23" s="7">
        <v>43616</v>
      </c>
      <c r="L23" s="8" t="str">
        <f>"000043"</f>
        <v>000043</v>
      </c>
      <c r="M23" s="7">
        <v>43631</v>
      </c>
      <c r="N23" s="8">
        <v>18</v>
      </c>
      <c r="O23" s="8" t="str">
        <f>"003766"</f>
        <v>003766</v>
      </c>
      <c r="P23" s="7">
        <v>43664</v>
      </c>
      <c r="Q23" s="12">
        <v>14.57995</v>
      </c>
      <c r="R23" s="12">
        <v>1.5261100000000001</v>
      </c>
      <c r="S23" s="12">
        <v>13.053839999999999</v>
      </c>
      <c r="T23" s="8">
        <v>119</v>
      </c>
      <c r="U23" s="7">
        <v>43668</v>
      </c>
      <c r="V23" s="8">
        <v>9342471293</v>
      </c>
      <c r="W23" s="11" t="s">
        <v>103</v>
      </c>
      <c r="X23" s="8" t="s">
        <v>76</v>
      </c>
      <c r="Y23" s="11" t="s">
        <v>77</v>
      </c>
      <c r="Z23" s="8" t="s">
        <v>48</v>
      </c>
      <c r="AA23" s="11" t="s">
        <v>49</v>
      </c>
      <c r="AB23" s="12">
        <f t="shared" si="1"/>
        <v>0.1457995</v>
      </c>
    </row>
    <row r="24" spans="1:28" s="4" customFormat="1" ht="13" x14ac:dyDescent="0.3">
      <c r="A24" s="5">
        <v>348</v>
      </c>
      <c r="B24" s="6" t="s">
        <v>100</v>
      </c>
      <c r="C24" s="7">
        <v>43669</v>
      </c>
      <c r="D24" s="8">
        <v>8</v>
      </c>
      <c r="E24" s="9" t="s">
        <v>57</v>
      </c>
      <c r="F24" s="8" t="s">
        <v>106</v>
      </c>
      <c r="G24" s="11" t="s">
        <v>107</v>
      </c>
      <c r="H24" s="8" t="str">
        <f>"000221"</f>
        <v>000221</v>
      </c>
      <c r="I24" s="7">
        <v>42809</v>
      </c>
      <c r="J24" s="8" t="str">
        <f>"000029"</f>
        <v>000029</v>
      </c>
      <c r="K24" s="7">
        <v>43097</v>
      </c>
      <c r="L24" s="8" t="str">
        <f>"000085"</f>
        <v>000085</v>
      </c>
      <c r="M24" s="7">
        <v>43119</v>
      </c>
      <c r="N24" s="8">
        <v>17</v>
      </c>
      <c r="O24" s="8" t="str">
        <f>"003669"</f>
        <v>003669</v>
      </c>
      <c r="P24" s="7">
        <v>43664</v>
      </c>
      <c r="Q24" s="12">
        <v>4.8377299999999996</v>
      </c>
      <c r="R24" s="12">
        <v>0.12859999999999999</v>
      </c>
      <c r="S24" s="12">
        <v>4.70913</v>
      </c>
      <c r="T24" s="8">
        <v>122</v>
      </c>
      <c r="U24" s="7">
        <v>43669</v>
      </c>
      <c r="V24" s="8">
        <v>9632359909</v>
      </c>
      <c r="W24" s="11" t="s">
        <v>108</v>
      </c>
      <c r="X24" s="8" t="s">
        <v>40</v>
      </c>
      <c r="Y24" s="11" t="s">
        <v>41</v>
      </c>
      <c r="Z24" s="8" t="s">
        <v>48</v>
      </c>
      <c r="AA24" s="11" t="s">
        <v>49</v>
      </c>
      <c r="AB24" s="12">
        <f t="shared" si="1"/>
        <v>4.8377299999999998E-2</v>
      </c>
    </row>
    <row r="25" spans="1:28" s="4" customFormat="1" ht="13" x14ac:dyDescent="0.3">
      <c r="A25" s="5">
        <v>349</v>
      </c>
      <c r="B25" s="6" t="s">
        <v>109</v>
      </c>
      <c r="C25" s="7">
        <v>43696</v>
      </c>
      <c r="D25" s="8">
        <v>8</v>
      </c>
      <c r="E25" s="9" t="s">
        <v>57</v>
      </c>
      <c r="F25" s="8" t="s">
        <v>110</v>
      </c>
      <c r="G25" s="11" t="s">
        <v>111</v>
      </c>
      <c r="H25" s="8" t="str">
        <f>"000006"</f>
        <v>000006</v>
      </c>
      <c r="I25" s="7">
        <v>43063</v>
      </c>
      <c r="J25" s="8" t="str">
        <f>"000045"</f>
        <v>000045</v>
      </c>
      <c r="K25" s="7">
        <v>43185</v>
      </c>
      <c r="L25" s="8" t="str">
        <f>"000045"</f>
        <v>000045</v>
      </c>
      <c r="M25" s="7">
        <v>43185</v>
      </c>
      <c r="N25" s="8">
        <v>17</v>
      </c>
      <c r="O25" s="8" t="str">
        <f>"004491"</f>
        <v>004491</v>
      </c>
      <c r="P25" s="7">
        <v>43691</v>
      </c>
      <c r="Q25" s="12">
        <v>8.2828999999999997</v>
      </c>
      <c r="R25" s="12">
        <v>0.33783999999999997</v>
      </c>
      <c r="S25" s="12">
        <v>7.9450599999999998</v>
      </c>
      <c r="T25" s="8">
        <v>158</v>
      </c>
      <c r="U25" s="7">
        <v>43696</v>
      </c>
      <c r="V25" s="8">
        <v>9341423529</v>
      </c>
      <c r="W25" s="11" t="s">
        <v>112</v>
      </c>
      <c r="X25" s="8" t="s">
        <v>40</v>
      </c>
      <c r="Y25" s="11" t="s">
        <v>41</v>
      </c>
      <c r="Z25" s="8" t="s">
        <v>33</v>
      </c>
      <c r="AA25" s="11" t="s">
        <v>34</v>
      </c>
      <c r="AB25" s="12">
        <f t="shared" si="1"/>
        <v>8.2829E-2</v>
      </c>
    </row>
    <row r="26" spans="1:28" s="4" customFormat="1" ht="13" x14ac:dyDescent="0.3">
      <c r="A26" s="5">
        <v>350</v>
      </c>
      <c r="B26" s="6" t="s">
        <v>109</v>
      </c>
      <c r="C26" s="7">
        <v>43696</v>
      </c>
      <c r="D26" s="8">
        <v>8</v>
      </c>
      <c r="E26" s="9" t="s">
        <v>57</v>
      </c>
      <c r="F26" s="8" t="s">
        <v>113</v>
      </c>
      <c r="G26" s="11" t="s">
        <v>114</v>
      </c>
      <c r="H26" s="8" t="str">
        <f>"000248"</f>
        <v>000248</v>
      </c>
      <c r="I26" s="7">
        <v>42426</v>
      </c>
      <c r="J26" s="8" t="str">
        <f>"000042"</f>
        <v>000042</v>
      </c>
      <c r="K26" s="7">
        <v>43164</v>
      </c>
      <c r="L26" s="8" t="str">
        <f>"000132"</f>
        <v>000132</v>
      </c>
      <c r="M26" s="7">
        <v>43167</v>
      </c>
      <c r="N26" s="8">
        <v>16</v>
      </c>
      <c r="O26" s="8" t="str">
        <f>"004499"</f>
        <v>004499</v>
      </c>
      <c r="P26" s="7">
        <v>43691</v>
      </c>
      <c r="Q26" s="12">
        <v>39.539700000000003</v>
      </c>
      <c r="R26" s="12">
        <v>1.3907700000000001</v>
      </c>
      <c r="S26" s="12">
        <v>38.14893</v>
      </c>
      <c r="T26" s="8">
        <v>158</v>
      </c>
      <c r="U26" s="7">
        <v>43696</v>
      </c>
      <c r="V26" s="8">
        <v>9844317136</v>
      </c>
      <c r="W26" s="11" t="s">
        <v>115</v>
      </c>
      <c r="X26" s="8" t="s">
        <v>43</v>
      </c>
      <c r="Y26" s="11" t="s">
        <v>44</v>
      </c>
      <c r="Z26" s="8" t="s">
        <v>48</v>
      </c>
      <c r="AA26" s="11" t="s">
        <v>49</v>
      </c>
      <c r="AB26" s="12">
        <f t="shared" si="1"/>
        <v>0.39539700000000005</v>
      </c>
    </row>
    <row r="27" spans="1:28" s="4" customFormat="1" ht="13" x14ac:dyDescent="0.3">
      <c r="A27" s="5">
        <v>351</v>
      </c>
      <c r="B27" s="6" t="s">
        <v>116</v>
      </c>
      <c r="C27" s="7">
        <v>43721</v>
      </c>
      <c r="D27" s="8">
        <v>8</v>
      </c>
      <c r="E27" s="9" t="s">
        <v>57</v>
      </c>
      <c r="F27" s="8" t="s">
        <v>88</v>
      </c>
      <c r="G27" s="11" t="s">
        <v>117</v>
      </c>
      <c r="H27" s="8" t="str">
        <f>"000118"</f>
        <v>000118</v>
      </c>
      <c r="I27" s="7">
        <v>43180</v>
      </c>
      <c r="J27" s="8" t="str">
        <f>"000022"</f>
        <v>000022</v>
      </c>
      <c r="K27" s="7">
        <v>43666</v>
      </c>
      <c r="L27" s="8" t="str">
        <f>"000060"</f>
        <v>000060</v>
      </c>
      <c r="M27" s="7">
        <v>43666</v>
      </c>
      <c r="N27" s="8">
        <v>18</v>
      </c>
      <c r="O27" s="8" t="str">
        <f>"005057"</f>
        <v>005057</v>
      </c>
      <c r="P27" s="7">
        <v>43720</v>
      </c>
      <c r="Q27" s="12">
        <v>12.39503</v>
      </c>
      <c r="R27" s="12">
        <v>1.2395</v>
      </c>
      <c r="S27" s="12">
        <v>11.155530000000001</v>
      </c>
      <c r="T27" s="8">
        <v>185</v>
      </c>
      <c r="U27" s="7">
        <v>43721</v>
      </c>
      <c r="V27" s="8">
        <v>9972924526</v>
      </c>
      <c r="W27" s="11" t="s">
        <v>118</v>
      </c>
      <c r="X27" s="8" t="s">
        <v>35</v>
      </c>
      <c r="Y27" s="11" t="s">
        <v>36</v>
      </c>
      <c r="Z27" s="8" t="s">
        <v>48</v>
      </c>
      <c r="AA27" s="11" t="s">
        <v>49</v>
      </c>
      <c r="AB27" s="12">
        <f t="shared" si="1"/>
        <v>0.1239503</v>
      </c>
    </row>
    <row r="28" spans="1:28" s="4" customFormat="1" ht="13" x14ac:dyDescent="0.3">
      <c r="A28" s="5">
        <v>352</v>
      </c>
      <c r="B28" s="6" t="s">
        <v>116</v>
      </c>
      <c r="C28" s="7">
        <v>43726</v>
      </c>
      <c r="D28" s="8">
        <v>8</v>
      </c>
      <c r="E28" s="9" t="s">
        <v>57</v>
      </c>
      <c r="F28" s="8" t="s">
        <v>119</v>
      </c>
      <c r="G28" s="11" t="s">
        <v>120</v>
      </c>
      <c r="H28" s="8" t="str">
        <f>"000010"</f>
        <v>000010</v>
      </c>
      <c r="I28" s="7">
        <v>43468</v>
      </c>
      <c r="J28" s="8" t="str">
        <f>"000080"</f>
        <v>000080</v>
      </c>
      <c r="K28" s="7">
        <v>43707</v>
      </c>
      <c r="L28" s="8" t="str">
        <f>"000083"</f>
        <v>000083</v>
      </c>
      <c r="M28" s="7">
        <v>43707</v>
      </c>
      <c r="N28" s="8">
        <v>18</v>
      </c>
      <c r="O28" s="8" t="str">
        <f>"005172"</f>
        <v>005172</v>
      </c>
      <c r="P28" s="7">
        <v>43726</v>
      </c>
      <c r="Q28" s="12">
        <v>48.834789999999998</v>
      </c>
      <c r="R28" s="12">
        <v>6.0133000000000001</v>
      </c>
      <c r="S28" s="12">
        <v>42.821489999999997</v>
      </c>
      <c r="T28" s="8">
        <v>192</v>
      </c>
      <c r="U28" s="7">
        <v>43726</v>
      </c>
      <c r="V28" s="8">
        <v>9449863064</v>
      </c>
      <c r="W28" s="11" t="s">
        <v>45</v>
      </c>
      <c r="X28" s="8" t="s">
        <v>55</v>
      </c>
      <c r="Y28" s="11" t="s">
        <v>56</v>
      </c>
      <c r="Z28" s="8" t="s">
        <v>37</v>
      </c>
      <c r="AA28" s="11" t="s">
        <v>38</v>
      </c>
      <c r="AB28" s="12">
        <f t="shared" si="1"/>
        <v>0.4883479</v>
      </c>
    </row>
    <row r="29" spans="1:28" s="4" customFormat="1" ht="13" x14ac:dyDescent="0.3">
      <c r="A29" s="5">
        <v>353</v>
      </c>
      <c r="B29" s="6" t="s">
        <v>121</v>
      </c>
      <c r="C29" s="7">
        <v>43752</v>
      </c>
      <c r="D29" s="5">
        <v>8</v>
      </c>
      <c r="E29" s="9" t="s">
        <v>57</v>
      </c>
      <c r="F29" s="8" t="s">
        <v>122</v>
      </c>
      <c r="G29" s="9" t="s">
        <v>123</v>
      </c>
      <c r="H29" s="8" t="str">
        <f>"000013"</f>
        <v>000013</v>
      </c>
      <c r="I29" s="7">
        <v>43468</v>
      </c>
      <c r="J29" s="8" t="str">
        <f>"000081"</f>
        <v>000081</v>
      </c>
      <c r="K29" s="7">
        <v>43707</v>
      </c>
      <c r="L29" s="8" t="str">
        <f>"000084"</f>
        <v>000084</v>
      </c>
      <c r="M29" s="7">
        <v>43707</v>
      </c>
      <c r="N29" s="8">
        <v>18</v>
      </c>
      <c r="O29" s="8" t="str">
        <f>"005669"</f>
        <v>005669</v>
      </c>
      <c r="P29" s="7">
        <v>43748</v>
      </c>
      <c r="Q29" s="10">
        <v>73.27028</v>
      </c>
      <c r="R29" s="10">
        <v>7.2868199999999996</v>
      </c>
      <c r="S29" s="10">
        <v>65.983459999999994</v>
      </c>
      <c r="T29" s="8">
        <v>13</v>
      </c>
      <c r="U29" s="7">
        <v>43752</v>
      </c>
      <c r="V29" s="8">
        <v>9449863064</v>
      </c>
      <c r="W29" s="9" t="s">
        <v>45</v>
      </c>
      <c r="X29" s="8" t="s">
        <v>124</v>
      </c>
      <c r="Y29" s="9" t="s">
        <v>125</v>
      </c>
      <c r="Z29" s="8" t="s">
        <v>37</v>
      </c>
      <c r="AA29" s="9" t="s">
        <v>38</v>
      </c>
      <c r="AB29" s="10">
        <v>0.73270279999999999</v>
      </c>
    </row>
    <row r="30" spans="1:28" s="4" customFormat="1" ht="13" x14ac:dyDescent="0.3">
      <c r="A30" s="5">
        <v>354</v>
      </c>
      <c r="B30" s="6" t="s">
        <v>121</v>
      </c>
      <c r="C30" s="7">
        <v>43761</v>
      </c>
      <c r="D30" s="5">
        <v>8</v>
      </c>
      <c r="E30" s="9" t="s">
        <v>57</v>
      </c>
      <c r="F30" s="8" t="s">
        <v>126</v>
      </c>
      <c r="G30" s="9" t="s">
        <v>127</v>
      </c>
      <c r="H30" s="8" t="str">
        <f>"000065"</f>
        <v>000065</v>
      </c>
      <c r="I30" s="7">
        <v>43136</v>
      </c>
      <c r="J30" s="8" t="str">
        <f>"000037"</f>
        <v>000037</v>
      </c>
      <c r="K30" s="7">
        <v>43731</v>
      </c>
      <c r="L30" s="8" t="str">
        <f>"000109"</f>
        <v>000109</v>
      </c>
      <c r="M30" s="7">
        <v>43732</v>
      </c>
      <c r="N30" s="8">
        <v>17</v>
      </c>
      <c r="O30" s="8" t="str">
        <f>"005827"</f>
        <v>005827</v>
      </c>
      <c r="P30" s="7">
        <v>43755</v>
      </c>
      <c r="Q30" s="10">
        <v>12.048</v>
      </c>
      <c r="R30" s="10">
        <v>1.2817400000000001</v>
      </c>
      <c r="S30" s="10">
        <v>10.766260000000001</v>
      </c>
      <c r="T30" s="8">
        <v>13</v>
      </c>
      <c r="U30" s="7">
        <v>43761</v>
      </c>
      <c r="V30" s="8">
        <v>9449863065</v>
      </c>
      <c r="W30" s="9" t="s">
        <v>103</v>
      </c>
      <c r="X30" s="8" t="s">
        <v>51</v>
      </c>
      <c r="Y30" s="9" t="s">
        <v>52</v>
      </c>
      <c r="Z30" s="8" t="s">
        <v>48</v>
      </c>
      <c r="AA30" s="9" t="s">
        <v>49</v>
      </c>
      <c r="AB30" s="10">
        <v>0.12048</v>
      </c>
    </row>
    <row r="31" spans="1:28" s="4" customFormat="1" ht="13" x14ac:dyDescent="0.3">
      <c r="A31" s="5">
        <v>355</v>
      </c>
      <c r="B31" s="6" t="s">
        <v>121</v>
      </c>
      <c r="C31" s="7">
        <v>43769</v>
      </c>
      <c r="D31" s="5">
        <v>8</v>
      </c>
      <c r="E31" s="9" t="s">
        <v>57</v>
      </c>
      <c r="F31" s="8" t="s">
        <v>70</v>
      </c>
      <c r="G31" s="9" t="s">
        <v>71</v>
      </c>
      <c r="H31" s="8" t="str">
        <f>"000024"</f>
        <v>000024</v>
      </c>
      <c r="I31" s="7">
        <v>42700</v>
      </c>
      <c r="J31" s="8" t="str">
        <f>"000176"</f>
        <v>000176</v>
      </c>
      <c r="K31" s="7">
        <v>43540</v>
      </c>
      <c r="L31" s="8" t="str">
        <f>"000176"</f>
        <v>000176</v>
      </c>
      <c r="M31" s="7">
        <v>43540</v>
      </c>
      <c r="N31" s="8">
        <v>16</v>
      </c>
      <c r="O31" s="8" t="str">
        <f>"002047"</f>
        <v>002047</v>
      </c>
      <c r="P31" s="7">
        <v>43609</v>
      </c>
      <c r="Q31" s="10">
        <v>89.518249999999995</v>
      </c>
      <c r="R31" s="10">
        <v>3.5409199999999998</v>
      </c>
      <c r="S31" s="10">
        <v>85.977329999999995</v>
      </c>
      <c r="T31" s="8">
        <v>13</v>
      </c>
      <c r="U31" s="7">
        <v>43769</v>
      </c>
      <c r="V31" s="8">
        <v>9945568501</v>
      </c>
      <c r="W31" s="9" t="s">
        <v>73</v>
      </c>
      <c r="X31" s="8" t="s">
        <v>43</v>
      </c>
      <c r="Y31" s="9" t="s">
        <v>44</v>
      </c>
      <c r="Z31" s="8" t="s">
        <v>37</v>
      </c>
      <c r="AA31" s="9" t="s">
        <v>38</v>
      </c>
      <c r="AB31" s="10">
        <v>0.89518249999999999</v>
      </c>
    </row>
    <row r="32" spans="1:28" s="4" customFormat="1" ht="13" x14ac:dyDescent="0.3">
      <c r="A32" s="5">
        <v>356</v>
      </c>
      <c r="B32" s="6" t="s">
        <v>121</v>
      </c>
      <c r="C32" s="7">
        <v>43769</v>
      </c>
      <c r="D32" s="5">
        <v>8</v>
      </c>
      <c r="E32" s="9" t="s">
        <v>57</v>
      </c>
      <c r="F32" s="8" t="s">
        <v>128</v>
      </c>
      <c r="G32" s="9" t="s">
        <v>129</v>
      </c>
      <c r="H32" s="8" t="str">
        <f>"000020"</f>
        <v>000020</v>
      </c>
      <c r="I32" s="7">
        <v>43060</v>
      </c>
      <c r="J32" s="8" t="str">
        <f>"000069"</f>
        <v>000069</v>
      </c>
      <c r="K32" s="7">
        <v>43798</v>
      </c>
      <c r="L32" s="8" t="str">
        <f>"000171"</f>
        <v>000171</v>
      </c>
      <c r="M32" s="7">
        <v>43798</v>
      </c>
      <c r="N32" s="8">
        <v>17</v>
      </c>
      <c r="O32" s="8" t="str">
        <f>""</f>
        <v/>
      </c>
      <c r="P32" s="7"/>
      <c r="Q32" s="10">
        <v>71.498999999999995</v>
      </c>
      <c r="R32" s="10">
        <v>3.71556</v>
      </c>
      <c r="S32" s="10">
        <v>67.783439999999999</v>
      </c>
      <c r="T32" s="8">
        <v>13</v>
      </c>
      <c r="U32" s="7">
        <v>43769</v>
      </c>
      <c r="V32" s="8">
        <v>9845230920</v>
      </c>
      <c r="W32" s="9" t="s">
        <v>130</v>
      </c>
      <c r="X32" s="8" t="s">
        <v>35</v>
      </c>
      <c r="Y32" s="9" t="s">
        <v>36</v>
      </c>
      <c r="Z32" s="8" t="s">
        <v>48</v>
      </c>
      <c r="AA32" s="9" t="s">
        <v>49</v>
      </c>
      <c r="AB32" s="10">
        <v>0.7149899999999999</v>
      </c>
    </row>
    <row r="33" spans="1:28" s="4" customFormat="1" ht="13" x14ac:dyDescent="0.3">
      <c r="A33" s="5">
        <v>357</v>
      </c>
      <c r="B33" s="6" t="s">
        <v>121</v>
      </c>
      <c r="C33" s="7">
        <v>43769</v>
      </c>
      <c r="D33" s="5">
        <v>8</v>
      </c>
      <c r="E33" s="9" t="s">
        <v>57</v>
      </c>
      <c r="F33" s="8" t="s">
        <v>128</v>
      </c>
      <c r="G33" s="9" t="s">
        <v>129</v>
      </c>
      <c r="H33" s="8" t="str">
        <f>"000020"</f>
        <v>000020</v>
      </c>
      <c r="I33" s="7">
        <v>43060</v>
      </c>
      <c r="J33" s="8" t="str">
        <f>"000069"</f>
        <v>000069</v>
      </c>
      <c r="K33" s="7">
        <v>43798</v>
      </c>
      <c r="L33" s="8" t="str">
        <f>"000171"</f>
        <v>000171</v>
      </c>
      <c r="M33" s="7">
        <v>43798</v>
      </c>
      <c r="N33" s="8">
        <v>17</v>
      </c>
      <c r="O33" s="8" t="str">
        <f>""</f>
        <v/>
      </c>
      <c r="P33" s="7"/>
      <c r="Q33" s="10">
        <v>17.11</v>
      </c>
      <c r="R33" s="10">
        <v>0.82354000000000005</v>
      </c>
      <c r="S33" s="10">
        <v>16.286460000000002</v>
      </c>
      <c r="T33" s="8">
        <v>13</v>
      </c>
      <c r="U33" s="7">
        <v>43769</v>
      </c>
      <c r="V33" s="8">
        <v>9845230920</v>
      </c>
      <c r="W33" s="9" t="s">
        <v>130</v>
      </c>
      <c r="X33" s="8" t="s">
        <v>35</v>
      </c>
      <c r="Y33" s="9" t="s">
        <v>36</v>
      </c>
      <c r="Z33" s="8" t="s">
        <v>48</v>
      </c>
      <c r="AA33" s="9" t="s">
        <v>49</v>
      </c>
      <c r="AB33" s="10">
        <v>0.1711</v>
      </c>
    </row>
    <row r="34" spans="1:28" s="4" customFormat="1" ht="13" x14ac:dyDescent="0.3">
      <c r="A34" s="5">
        <v>358</v>
      </c>
      <c r="B34" s="6" t="s">
        <v>121</v>
      </c>
      <c r="C34" s="7">
        <v>43769</v>
      </c>
      <c r="D34" s="5">
        <v>8</v>
      </c>
      <c r="E34" s="9" t="s">
        <v>57</v>
      </c>
      <c r="F34" s="8" t="s">
        <v>128</v>
      </c>
      <c r="G34" s="9" t="s">
        <v>129</v>
      </c>
      <c r="H34" s="8" t="str">
        <f>"000020"</f>
        <v>000020</v>
      </c>
      <c r="I34" s="7">
        <v>43060</v>
      </c>
      <c r="J34" s="8" t="str">
        <f>"000069"</f>
        <v>000069</v>
      </c>
      <c r="K34" s="7">
        <v>43798</v>
      </c>
      <c r="L34" s="8" t="str">
        <f>"000171"</f>
        <v>000171</v>
      </c>
      <c r="M34" s="7">
        <v>43798</v>
      </c>
      <c r="N34" s="8">
        <v>17</v>
      </c>
      <c r="O34" s="8" t="str">
        <f>""</f>
        <v/>
      </c>
      <c r="P34" s="7"/>
      <c r="Q34" s="10">
        <v>39.271000000000001</v>
      </c>
      <c r="R34" s="10">
        <v>1.9162600000000001</v>
      </c>
      <c r="S34" s="10">
        <v>37.35474</v>
      </c>
      <c r="T34" s="8">
        <v>13</v>
      </c>
      <c r="U34" s="7">
        <v>43769</v>
      </c>
      <c r="V34" s="8">
        <v>9845230920</v>
      </c>
      <c r="W34" s="9" t="s">
        <v>130</v>
      </c>
      <c r="X34" s="8" t="s">
        <v>35</v>
      </c>
      <c r="Y34" s="9" t="s">
        <v>36</v>
      </c>
      <c r="Z34" s="8" t="s">
        <v>48</v>
      </c>
      <c r="AA34" s="9" t="s">
        <v>49</v>
      </c>
      <c r="AB34" s="10">
        <v>0.39271</v>
      </c>
    </row>
    <row r="35" spans="1:28" s="4" customFormat="1" ht="13" x14ac:dyDescent="0.3">
      <c r="A35" s="5">
        <v>359</v>
      </c>
      <c r="B35" s="6" t="s">
        <v>131</v>
      </c>
      <c r="C35" s="7">
        <v>43782</v>
      </c>
      <c r="D35" s="5">
        <v>8</v>
      </c>
      <c r="E35" s="9" t="s">
        <v>57</v>
      </c>
      <c r="F35" s="8" t="s">
        <v>132</v>
      </c>
      <c r="G35" s="9" t="s">
        <v>133</v>
      </c>
      <c r="H35" s="8" t="str">
        <f>"000042"</f>
        <v>000042</v>
      </c>
      <c r="I35" s="7">
        <v>43654</v>
      </c>
      <c r="J35" s="8" t="str">
        <f>"000027"</f>
        <v>000027</v>
      </c>
      <c r="K35" s="7">
        <v>43721</v>
      </c>
      <c r="L35" s="8" t="str">
        <f>"000089"</f>
        <v>000089</v>
      </c>
      <c r="M35" s="7">
        <v>43721</v>
      </c>
      <c r="N35" s="8">
        <v>19</v>
      </c>
      <c r="O35" s="8" t="str">
        <f>"006162"</f>
        <v>006162</v>
      </c>
      <c r="P35" s="7">
        <v>43777</v>
      </c>
      <c r="Q35" s="10">
        <v>69.983000000000004</v>
      </c>
      <c r="R35" s="10">
        <v>7.6422800000000004</v>
      </c>
      <c r="S35" s="10">
        <v>62.340719999999997</v>
      </c>
      <c r="T35" s="8">
        <v>13</v>
      </c>
      <c r="U35" s="7">
        <v>43782</v>
      </c>
      <c r="V35" s="8">
        <v>9342471293</v>
      </c>
      <c r="W35" s="9" t="s">
        <v>103</v>
      </c>
      <c r="X35" s="8" t="s">
        <v>134</v>
      </c>
      <c r="Y35" s="9" t="s">
        <v>135</v>
      </c>
      <c r="Z35" s="8" t="s">
        <v>48</v>
      </c>
      <c r="AA35" s="9" t="s">
        <v>49</v>
      </c>
      <c r="AB35" s="10">
        <v>0.69983000000000006</v>
      </c>
    </row>
    <row r="36" spans="1:28" s="4" customFormat="1" ht="13" x14ac:dyDescent="0.3">
      <c r="A36" s="5">
        <v>360</v>
      </c>
      <c r="B36" s="6" t="s">
        <v>131</v>
      </c>
      <c r="C36" s="7">
        <v>43790</v>
      </c>
      <c r="D36" s="5">
        <v>8</v>
      </c>
      <c r="E36" s="9" t="s">
        <v>57</v>
      </c>
      <c r="F36" s="8" t="s">
        <v>136</v>
      </c>
      <c r="G36" s="9" t="s">
        <v>137</v>
      </c>
      <c r="H36" s="8" t="str">
        <f>"000252"</f>
        <v>000252</v>
      </c>
      <c r="I36" s="7">
        <v>43524</v>
      </c>
      <c r="J36" s="8" t="str">
        <f>"000043"</f>
        <v>000043</v>
      </c>
      <c r="K36" s="7">
        <v>43734</v>
      </c>
      <c r="L36" s="8" t="str">
        <f>"000112"</f>
        <v>000112</v>
      </c>
      <c r="M36" s="7">
        <v>43738</v>
      </c>
      <c r="N36" s="8">
        <v>18</v>
      </c>
      <c r="O36" s="8" t="str">
        <f>"006202"</f>
        <v>006202</v>
      </c>
      <c r="P36" s="7">
        <v>43781</v>
      </c>
      <c r="Q36" s="10">
        <v>34.982999999999997</v>
      </c>
      <c r="R36" s="10">
        <v>3.66621</v>
      </c>
      <c r="S36" s="10">
        <v>31.316790000000001</v>
      </c>
      <c r="T36" s="8">
        <v>13</v>
      </c>
      <c r="U36" s="7">
        <v>43790</v>
      </c>
      <c r="V36" s="8">
        <v>9342471293</v>
      </c>
      <c r="W36" s="9" t="s">
        <v>103</v>
      </c>
      <c r="X36" s="8" t="s">
        <v>46</v>
      </c>
      <c r="Y36" s="9" t="s">
        <v>47</v>
      </c>
      <c r="Z36" s="8" t="s">
        <v>48</v>
      </c>
      <c r="AA36" s="9" t="s">
        <v>49</v>
      </c>
      <c r="AB36" s="10">
        <v>0.34982999999999997</v>
      </c>
    </row>
    <row r="37" spans="1:28" s="4" customFormat="1" ht="13" x14ac:dyDescent="0.3">
      <c r="A37" s="5">
        <v>361</v>
      </c>
      <c r="B37" s="6" t="s">
        <v>138</v>
      </c>
      <c r="C37" s="7">
        <v>43801</v>
      </c>
      <c r="D37" s="5">
        <v>8</v>
      </c>
      <c r="E37" s="9" t="s">
        <v>57</v>
      </c>
      <c r="F37" s="8" t="s">
        <v>74</v>
      </c>
      <c r="G37" s="9" t="s">
        <v>75</v>
      </c>
      <c r="H37" s="8" t="str">
        <f>"000017"</f>
        <v>000017</v>
      </c>
      <c r="I37" s="7">
        <v>43468</v>
      </c>
      <c r="J37" s="8" t="str">
        <f>"000096"</f>
        <v>000096</v>
      </c>
      <c r="K37" s="7">
        <v>43753</v>
      </c>
      <c r="L37" s="8" t="str">
        <f>"000099"</f>
        <v>000099</v>
      </c>
      <c r="M37" s="7">
        <v>43753</v>
      </c>
      <c r="N37" s="8">
        <v>18</v>
      </c>
      <c r="O37" s="8" t="str">
        <f>"006472"</f>
        <v>006472</v>
      </c>
      <c r="P37" s="7">
        <v>43797</v>
      </c>
      <c r="Q37" s="10">
        <v>34.647910000000003</v>
      </c>
      <c r="R37" s="10">
        <v>4.3054100000000002</v>
      </c>
      <c r="S37" s="10">
        <v>30.342500000000001</v>
      </c>
      <c r="T37" s="8">
        <v>13</v>
      </c>
      <c r="U37" s="7">
        <v>43801</v>
      </c>
      <c r="V37" s="8">
        <v>9449863064</v>
      </c>
      <c r="W37" s="9" t="s">
        <v>45</v>
      </c>
      <c r="X37" s="8" t="s">
        <v>76</v>
      </c>
      <c r="Y37" s="9" t="s">
        <v>77</v>
      </c>
      <c r="Z37" s="8" t="s">
        <v>37</v>
      </c>
      <c r="AA37" s="9" t="s">
        <v>38</v>
      </c>
      <c r="AB37" s="10">
        <v>0.34647910000000004</v>
      </c>
    </row>
    <row r="38" spans="1:28" s="4" customFormat="1" ht="13" x14ac:dyDescent="0.3">
      <c r="A38" s="5">
        <v>362</v>
      </c>
      <c r="B38" s="6" t="s">
        <v>138</v>
      </c>
      <c r="C38" s="7">
        <v>43818</v>
      </c>
      <c r="D38" s="5">
        <v>8</v>
      </c>
      <c r="E38" s="9" t="s">
        <v>57</v>
      </c>
      <c r="F38" s="8" t="s">
        <v>139</v>
      </c>
      <c r="G38" s="9" t="s">
        <v>140</v>
      </c>
      <c r="H38" s="8" t="str">
        <f>"000235"</f>
        <v>000235</v>
      </c>
      <c r="I38" s="7">
        <v>43523</v>
      </c>
      <c r="J38" s="8" t="str">
        <f>"000046"</f>
        <v>000046</v>
      </c>
      <c r="K38" s="7">
        <v>43738</v>
      </c>
      <c r="L38" s="8" t="str">
        <f>"000122"</f>
        <v>000122</v>
      </c>
      <c r="M38" s="7">
        <v>43747</v>
      </c>
      <c r="N38" s="8">
        <v>19</v>
      </c>
      <c r="O38" s="8" t="str">
        <f>"006626"</f>
        <v>006626</v>
      </c>
      <c r="P38" s="7">
        <v>43803</v>
      </c>
      <c r="Q38" s="10">
        <v>0.371</v>
      </c>
      <c r="R38" s="10">
        <v>3.7100000000000001E-2</v>
      </c>
      <c r="S38" s="10">
        <v>0.33389999999999997</v>
      </c>
      <c r="T38" s="8">
        <v>13</v>
      </c>
      <c r="U38" s="7">
        <v>43818</v>
      </c>
      <c r="V38" s="8">
        <v>9886913195</v>
      </c>
      <c r="W38" s="9" t="s">
        <v>141</v>
      </c>
      <c r="X38" s="8" t="s">
        <v>142</v>
      </c>
      <c r="Y38" s="9" t="s">
        <v>143</v>
      </c>
      <c r="Z38" s="8" t="s">
        <v>48</v>
      </c>
      <c r="AA38" s="9" t="s">
        <v>49</v>
      </c>
      <c r="AB38" s="10">
        <v>3.7099999999999998E-3</v>
      </c>
    </row>
    <row r="39" spans="1:28" s="4" customFormat="1" ht="13" x14ac:dyDescent="0.3">
      <c r="A39" s="5">
        <v>363</v>
      </c>
      <c r="B39" s="6" t="s">
        <v>138</v>
      </c>
      <c r="C39" s="7">
        <v>43818</v>
      </c>
      <c r="D39" s="5">
        <v>8</v>
      </c>
      <c r="E39" s="9" t="s">
        <v>57</v>
      </c>
      <c r="F39" s="8" t="s">
        <v>144</v>
      </c>
      <c r="G39" s="9" t="s">
        <v>145</v>
      </c>
      <c r="H39" s="8" t="str">
        <f>"000010"</f>
        <v>000010</v>
      </c>
      <c r="I39" s="7">
        <v>43276</v>
      </c>
      <c r="J39" s="8" t="str">
        <f>"000049"</f>
        <v>000049</v>
      </c>
      <c r="K39" s="7">
        <v>43738</v>
      </c>
      <c r="L39" s="8" t="str">
        <f>"000114"</f>
        <v>000114</v>
      </c>
      <c r="M39" s="7">
        <v>43738</v>
      </c>
      <c r="N39" s="8">
        <v>18</v>
      </c>
      <c r="O39" s="8" t="str">
        <f>"006808"</f>
        <v>006808</v>
      </c>
      <c r="P39" s="7">
        <v>43811</v>
      </c>
      <c r="Q39" s="10">
        <v>12.3613</v>
      </c>
      <c r="R39" s="10">
        <v>0.72714000000000001</v>
      </c>
      <c r="S39" s="10">
        <v>11.63416</v>
      </c>
      <c r="T39" s="8">
        <v>13</v>
      </c>
      <c r="U39" s="7">
        <v>43818</v>
      </c>
      <c r="V39" s="8">
        <v>984545252</v>
      </c>
      <c r="W39" s="9" t="s">
        <v>146</v>
      </c>
      <c r="X39" s="8" t="s">
        <v>134</v>
      </c>
      <c r="Y39" s="9" t="s">
        <v>135</v>
      </c>
      <c r="Z39" s="8" t="s">
        <v>48</v>
      </c>
      <c r="AA39" s="9" t="s">
        <v>49</v>
      </c>
      <c r="AB39" s="10">
        <v>0.123613</v>
      </c>
    </row>
    <row r="40" spans="1:28" s="4" customFormat="1" ht="13" x14ac:dyDescent="0.3">
      <c r="A40" s="5">
        <v>364</v>
      </c>
      <c r="B40" s="6" t="s">
        <v>138</v>
      </c>
      <c r="C40" s="7">
        <v>43818</v>
      </c>
      <c r="D40" s="5">
        <v>8</v>
      </c>
      <c r="E40" s="9" t="s">
        <v>57</v>
      </c>
      <c r="F40" s="8" t="s">
        <v>147</v>
      </c>
      <c r="G40" s="9" t="s">
        <v>148</v>
      </c>
      <c r="H40" s="8" t="str">
        <f>"000165"</f>
        <v>000165</v>
      </c>
      <c r="I40" s="7">
        <v>43421</v>
      </c>
      <c r="J40" s="8" t="str">
        <f>"000067"</f>
        <v>000067</v>
      </c>
      <c r="K40" s="7">
        <v>43782</v>
      </c>
      <c r="L40" s="8" t="str">
        <f>"000160"</f>
        <v>000160</v>
      </c>
      <c r="M40" s="7">
        <v>43782</v>
      </c>
      <c r="N40" s="8">
        <v>17</v>
      </c>
      <c r="O40" s="8" t="str">
        <f>"006878"</f>
        <v>006878</v>
      </c>
      <c r="P40" s="7">
        <v>43818</v>
      </c>
      <c r="Q40" s="10">
        <v>88.441000000000003</v>
      </c>
      <c r="R40" s="10">
        <v>4.4348000000000001</v>
      </c>
      <c r="S40" s="10">
        <v>84.006200000000007</v>
      </c>
      <c r="T40" s="8">
        <v>13</v>
      </c>
      <c r="U40" s="7">
        <v>43818</v>
      </c>
      <c r="V40" s="8">
        <v>9845452520</v>
      </c>
      <c r="W40" s="9" t="s">
        <v>146</v>
      </c>
      <c r="X40" s="8" t="s">
        <v>51</v>
      </c>
      <c r="Y40" s="9" t="s">
        <v>52</v>
      </c>
      <c r="Z40" s="8" t="s">
        <v>48</v>
      </c>
      <c r="AA40" s="9" t="s">
        <v>49</v>
      </c>
      <c r="AB40" s="10">
        <v>0.88441000000000003</v>
      </c>
    </row>
    <row r="41" spans="1:28" s="4" customFormat="1" ht="13" x14ac:dyDescent="0.3">
      <c r="A41" s="5">
        <v>365</v>
      </c>
      <c r="B41" s="6" t="s">
        <v>138</v>
      </c>
      <c r="C41" s="7">
        <v>43826</v>
      </c>
      <c r="D41" s="5">
        <v>8</v>
      </c>
      <c r="E41" s="9" t="s">
        <v>57</v>
      </c>
      <c r="F41" s="8" t="s">
        <v>149</v>
      </c>
      <c r="G41" s="9" t="s">
        <v>150</v>
      </c>
      <c r="H41" s="8" t="str">
        <f>"000236"</f>
        <v>000236</v>
      </c>
      <c r="I41" s="7">
        <v>43523</v>
      </c>
      <c r="J41" s="8" t="str">
        <f>"000045"</f>
        <v>000045</v>
      </c>
      <c r="K41" s="7">
        <v>43738</v>
      </c>
      <c r="L41" s="8" t="str">
        <f>"000121"</f>
        <v>000121</v>
      </c>
      <c r="M41" s="7">
        <v>43747</v>
      </c>
      <c r="N41" s="8">
        <v>19</v>
      </c>
      <c r="O41" s="8" t="str">
        <f>"006916"</f>
        <v>006916</v>
      </c>
      <c r="P41" s="7">
        <v>43820</v>
      </c>
      <c r="Q41" s="10">
        <v>0.51</v>
      </c>
      <c r="R41" s="10">
        <v>5.0999999999999997E-2</v>
      </c>
      <c r="S41" s="10">
        <v>0.45900000000000002</v>
      </c>
      <c r="T41" s="8">
        <v>13</v>
      </c>
      <c r="U41" s="7">
        <v>43826</v>
      </c>
      <c r="V41" s="8">
        <v>9886913195</v>
      </c>
      <c r="W41" s="9" t="s">
        <v>141</v>
      </c>
      <c r="X41" s="8" t="s">
        <v>134</v>
      </c>
      <c r="Y41" s="9" t="s">
        <v>135</v>
      </c>
      <c r="Z41" s="8" t="s">
        <v>48</v>
      </c>
      <c r="AA41" s="9" t="s">
        <v>49</v>
      </c>
      <c r="AB41" s="10">
        <v>5.1000000000000004E-3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2020-01-28T11:15:48Z</dcterms:modified>
</cp:coreProperties>
</file>