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2" i="1" l="1"/>
  <c r="L42" i="1"/>
  <c r="J42" i="1"/>
  <c r="H42" i="1"/>
  <c r="O41" i="1"/>
  <c r="L41" i="1"/>
  <c r="J41" i="1"/>
  <c r="H41" i="1"/>
  <c r="O40" i="1"/>
  <c r="L40" i="1"/>
  <c r="J40" i="1"/>
  <c r="H40" i="1"/>
  <c r="O39" i="1"/>
  <c r="L39" i="1"/>
  <c r="J39" i="1"/>
  <c r="H39" i="1"/>
  <c r="O38" i="1"/>
  <c r="L38" i="1"/>
  <c r="J38" i="1"/>
  <c r="H38" i="1"/>
  <c r="O37" i="1"/>
  <c r="L37" i="1"/>
  <c r="J37" i="1"/>
  <c r="H37" i="1"/>
  <c r="O36" i="1"/>
  <c r="L36" i="1"/>
  <c r="J36" i="1"/>
  <c r="H36" i="1"/>
  <c r="O35" i="1"/>
  <c r="L35" i="1"/>
  <c r="J35" i="1"/>
  <c r="H35" i="1"/>
  <c r="O34" i="1"/>
  <c r="L34" i="1"/>
  <c r="J34" i="1"/>
  <c r="H34" i="1"/>
  <c r="O33" i="1"/>
  <c r="L33" i="1"/>
  <c r="J33" i="1"/>
  <c r="H33" i="1"/>
  <c r="O32" i="1"/>
  <c r="L32" i="1"/>
  <c r="J32" i="1"/>
  <c r="H32" i="1"/>
  <c r="O31" i="1"/>
  <c r="L31" i="1"/>
  <c r="J31" i="1"/>
  <c r="H31" i="1"/>
  <c r="O30" i="1"/>
  <c r="L30" i="1"/>
  <c r="J30" i="1"/>
  <c r="H30" i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<sst xmlns="http://schemas.openxmlformats.org/spreadsheetml/2006/main" count="397" uniqueCount="184">
  <si>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</si>
  <si>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</si>
  <si>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</si>
  <si>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</si>
  <si>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</si>
  <si>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</si>
  <si>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</si>
  <si>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</si>
  <si>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</si>
  <si>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</si>
  <si>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</si>
  <si>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</si>
  <si>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</si>
  <si>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</si>
  <si>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</si>
  <si>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</si>
  <si>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</si>
  <si>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</si>
  <si>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</si>
  <si>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</si>
  <si>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</si>
  <si>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</si>
  <si>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</si>
  <si>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</si>
  <si>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</si>
  <si>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</si>
  <si>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</si>
  <si>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</si>
  <si>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</si>
  <si>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P0300</t>
  </si>
  <si>
    <t>M and R to Street Lights - Replacement of Burnt Bulbs etc. (Package)</t>
  </si>
  <si>
    <t>June</t>
  </si>
  <si>
    <t>P1771</t>
  </si>
  <si>
    <t>Zone Works - POW Works</t>
  </si>
  <si>
    <t>May</t>
  </si>
  <si>
    <t>P3158</t>
  </si>
  <si>
    <t>SIP Infrastructure Project works</t>
  </si>
  <si>
    <t>M/S KRIDL</t>
  </si>
  <si>
    <t>P0190</t>
  </si>
  <si>
    <t>Works sanctioned by Hon Mayor</t>
  </si>
  <si>
    <t>P3075</t>
  </si>
  <si>
    <t>Special comprehensive development works in Bangalore city (Bangalore city in charge Minister Discretionary Grants)</t>
  </si>
  <si>
    <t>P3293</t>
  </si>
  <si>
    <t>14th Finance Commission Works - Drinking Water</t>
  </si>
  <si>
    <t>ddo365</t>
  </si>
  <si>
    <t xml:space="preserve"> Executive Engineer Electrical Mahadevapura Zone</t>
  </si>
  <si>
    <t>P3089</t>
  </si>
  <si>
    <t>Special Development works in 7 CMC and 1 TMC area in BBMP</t>
  </si>
  <si>
    <t>ddo359</t>
  </si>
  <si>
    <t xml:space="preserve"> Assistant Executive Engineer Hoody Mahadevapura Zone</t>
  </si>
  <si>
    <t>P3174</t>
  </si>
  <si>
    <t>Special development works in ward No. 188, 141, 169, 82, 58,  (Rs.300 lakhs each ward)</t>
  </si>
  <si>
    <t>Garudachar Palya</t>
  </si>
  <si>
    <t>082-16-000001</t>
  </si>
  <si>
    <t>Operation and maintanance of street light fittings in ward no 82 Garudcharpalya Mahadevapura Zone M07</t>
  </si>
  <si>
    <t>Keerthi Electricals</t>
  </si>
  <si>
    <t>082-17-000039</t>
  </si>
  <si>
    <t>Improvements to road from Basavanna nagar main road towards EPIP area Via Anjinayaswamy temple at Seetharampalya in ward no. 82</t>
  </si>
  <si>
    <t>082-17-000021</t>
  </si>
  <si>
    <t>Improvements to Main Roads of Kaveri Nagara in Garudacharpalya  ward no 82</t>
  </si>
  <si>
    <t>KRISHNAMURTHY. P.A</t>
  </si>
  <si>
    <t>082-18-000050</t>
  </si>
  <si>
    <t>Drilling of Borewells and providing and laying pipeline in ward no 82 Garudacharpalya</t>
  </si>
  <si>
    <t>The Executive Engineer-5,</t>
  </si>
  <si>
    <t>082-16-000025</t>
  </si>
  <si>
    <t>Improvements to Roads and Drains at Seetharampalya in ward no 82</t>
  </si>
  <si>
    <t xml:space="preserve">N BABU </t>
  </si>
  <si>
    <t>082-17-000020</t>
  </si>
  <si>
    <t>Improvements to internal roads and drains at Garudacharpalya in ward no 82</t>
  </si>
  <si>
    <t>VEENA S R K TRANSPORT</t>
  </si>
  <si>
    <t>082-17-000018</t>
  </si>
  <si>
    <t>Desilting of road side drains and removal of debries in Garudacharpalya Ward No 82</t>
  </si>
  <si>
    <t>082-17-000026</t>
  </si>
  <si>
    <t>Improvements to Roads and drains at RHB colony in Garudacharpalya ward no 82</t>
  </si>
  <si>
    <t>M/s.Keerthi Electricals (Prop.Sri.B.Kumar)</t>
  </si>
  <si>
    <t>082-16-000051</t>
  </si>
  <si>
    <t xml:space="preserve"> Improvements to Roads and Drains at Maheshwari Nagara in Garudacharapalya ward no -82</t>
  </si>
  <si>
    <t>THE TECHNICAL MANAGER (EAST)</t>
  </si>
  <si>
    <t>082-16-000046</t>
  </si>
  <si>
    <t>Improvements to roads and drains at RHB Colony and Lakshmisagara layout in Garudacharpalya ward no 82</t>
  </si>
  <si>
    <t>082-16-000006</t>
  </si>
  <si>
    <t>Maintenance of footpaths in Garudacharapalya area at ward no 82Garudacharapalya</t>
  </si>
  <si>
    <t>SM Arjun</t>
  </si>
  <si>
    <t>082-18-000032</t>
  </si>
  <si>
    <t>Improvements to roads and drains of 5th and 6th cross RHB Colony in ward no 82 Garudacharapalya</t>
  </si>
  <si>
    <t>S.M.ARJUN</t>
  </si>
  <si>
    <t>082-17-000012</t>
  </si>
  <si>
    <t>Removal of debris in Garudacharpalya ward no 82</t>
  </si>
  <si>
    <t>S.Veena R.K.Transport</t>
  </si>
  <si>
    <t>July</t>
  </si>
  <si>
    <t>082-19-000023</t>
  </si>
  <si>
    <t>Improvements to CC roads, Drains and other works at Kaverinagar in Garudacharpalya Ward No 82</t>
  </si>
  <si>
    <t xml:space="preserve">Sri Malappa M </t>
  </si>
  <si>
    <t>P1878</t>
  </si>
  <si>
    <t>18per - Works (Bhagyajyothi, Sooru / Neeru Yojane and General) (54 Lakhs / New Wards)</t>
  </si>
  <si>
    <t>082-18-000002</t>
  </si>
  <si>
    <t>Improvements to Roads and Drains of Pattanduru Agrahar Harijan Hatti road to join ECC Road Vai Lake bund in ward no 82</t>
  </si>
  <si>
    <t>Sri M C Prabhakarareddy</t>
  </si>
  <si>
    <t>P3111</t>
  </si>
  <si>
    <t>State Finance Commission Untied Grant Works</t>
  </si>
  <si>
    <t>082-16-000021</t>
  </si>
  <si>
    <t>Improvements to Internal Roads and Drains of Lakshmi sagara in ward no 82</t>
  </si>
  <si>
    <t>S.R.Ravindra</t>
  </si>
  <si>
    <t>082-16-000040</t>
  </si>
  <si>
    <t>Improvements to Internal Roads and Drains at Ambedkar Colony in Garudacharapalya ward no -82</t>
  </si>
  <si>
    <t>T ANJINAPPA</t>
  </si>
  <si>
    <t>082-17-000015</t>
  </si>
  <si>
    <t>Improvements to roads and drains at Seetharamapalya in Garudacharpalya ward no 82</t>
  </si>
  <si>
    <t>Special development works in ward No. 188, 141, 169, 82, 58, (Rs.300 lakhs each ward)</t>
  </si>
  <si>
    <t>August</t>
  </si>
  <si>
    <t>082-11-000030</t>
  </si>
  <si>
    <t>Setting up and operation of Nisurgruna Bio-gas plant for Bio degredable waste of 5MT capacity based on Bhabha Atomic Research centre technology in ward no 82, Kaveri Nagara, Garudachar Palya</t>
  </si>
  <si>
    <t>M/s Ashoka Biogreen Pvt Ltd</t>
  </si>
  <si>
    <t>P2200</t>
  </si>
  <si>
    <t>Works to be taken up under 13th Finance Commission</t>
  </si>
  <si>
    <t>ddo326</t>
  </si>
  <si>
    <t xml:space="preserve"> Executive Engineer SWM 1 Central Zone</t>
  </si>
  <si>
    <t>September</t>
  </si>
  <si>
    <t>082-16-000048</t>
  </si>
  <si>
    <t>Improvements to Main roads, Cross Roads and Drains at Kaveri Nagara in Garudacharapalya ward no -82</t>
  </si>
  <si>
    <t>082-16-000044</t>
  </si>
  <si>
    <t>Improvements to roads and drains at Kaveri nagara in Garudacharpalya ward no 82</t>
  </si>
  <si>
    <t>KRIDL</t>
  </si>
  <si>
    <t>082-17-000014</t>
  </si>
  <si>
    <t>Providing and fixing Name boards and Sign in Garudacharpalya ward no 82</t>
  </si>
  <si>
    <t>VEENA S R K TRASPORT</t>
  </si>
  <si>
    <t>082-17-000050</t>
  </si>
  <si>
    <t>Improvements to internal roads and drains at Pattanduru Agrahara village in ward no 82 (Phase-II)</t>
  </si>
  <si>
    <t>M Venkatachalapathi</t>
  </si>
  <si>
    <t>P3176</t>
  </si>
  <si>
    <t>Developmental works in Ward No. 82, 06,16,44,70,17,26,13,79,35 ( Rs. 300.00 lakhs per each ward)</t>
  </si>
  <si>
    <t>082-18-000053</t>
  </si>
  <si>
    <t>Construction and repair of solid waste management building in ward no 82 Garudacharpalya</t>
  </si>
  <si>
    <t>P3298</t>
  </si>
  <si>
    <t>14th Finance Commission Works - SWM Works</t>
  </si>
  <si>
    <t>October</t>
  </si>
  <si>
    <t>M/s.Keerthi Electricals, Prop.Sri.B.Kumar</t>
  </si>
  <si>
    <t>082-15-000018</t>
  </si>
  <si>
    <t xml:space="preserve">Amount Earmarked for attending emergency works with the approval of Joint Commissioner BBMP in ward no 82 </t>
  </si>
  <si>
    <t>C MUNIRAJU</t>
  </si>
  <si>
    <t>082-17-000059</t>
  </si>
  <si>
    <t>Engagement of Gangman and Hiring of Tractor Tippers for cleaning and Maintenance of road side drains and other cleaning works in works in ward no 82</t>
  </si>
  <si>
    <t>P3110</t>
  </si>
  <si>
    <t>14th Finance Commission Grant Works</t>
  </si>
  <si>
    <t>082-19-000026</t>
  </si>
  <si>
    <t>Improvements of Burrial Grounds at Garudacarpalya ward no 82</t>
  </si>
  <si>
    <t>M.Venkatachalapathi</t>
  </si>
  <si>
    <t>P3291</t>
  </si>
  <si>
    <t>14th Fin -Maintenance of Cremotorium, Burial Grounds</t>
  </si>
  <si>
    <t>082-19-000020</t>
  </si>
  <si>
    <t>Providing and laying UGD pipelines in Garudacharpalya ward no 82</t>
  </si>
  <si>
    <t>P3295</t>
  </si>
  <si>
    <t>14th Finance Commission Works - UGD Works</t>
  </si>
  <si>
    <t>November</t>
  </si>
  <si>
    <t>082-17-000049</t>
  </si>
  <si>
    <t>Improvements to internal roads and drains at Pattanduru Agrahara village in ward no 82 (Phase-1)</t>
  </si>
  <si>
    <t>Sri M Venkatachalapathi</t>
  </si>
  <si>
    <t>082-18-000007</t>
  </si>
  <si>
    <t>Improvements to Roads and Drains at Whistle palms layout in ECC Ward no-82</t>
  </si>
  <si>
    <t>P3316</t>
  </si>
  <si>
    <t>Special Development works at ward No.82, 6, 16, 44, 70, 17, 26, 13, 79, 35 Rs.8.00 Cr each</t>
  </si>
  <si>
    <t>December</t>
  </si>
  <si>
    <t>082-18-000041</t>
  </si>
  <si>
    <t>Construction of new public Toilet block in Garudacharpalya ward no 82</t>
  </si>
  <si>
    <t>A KRISHNA</t>
  </si>
  <si>
    <t>P3294</t>
  </si>
  <si>
    <t>14th Finance Commission Works - General Public ToiletandSeptage Maintenance</t>
  </si>
  <si>
    <t>082-19-000019</t>
  </si>
  <si>
    <t xml:space="preserve">Drilling of Borewells and providing and laying pipeline in ward no 82 Garudacharpalya </t>
  </si>
  <si>
    <t>Sri Thirumal Electricals (S Ramesh)</t>
  </si>
  <si>
    <t>082-18-000011</t>
  </si>
  <si>
    <t xml:space="preserve">Improvements to Cross Roads and Drains of Pattanduru Agrahara Main road in ward no -82 </t>
  </si>
  <si>
    <t>082-18-000052</t>
  </si>
  <si>
    <t>Providing chainlink fencing and other development works at SWD drains in ward no 82 Garudacharpalya</t>
  </si>
  <si>
    <t xml:space="preserve"> M/s KRIDL</t>
  </si>
  <si>
    <t>P3297</t>
  </si>
  <si>
    <t>14th Finance Commission Grants - SWD Works</t>
  </si>
  <si>
    <t>ddo313</t>
  </si>
  <si>
    <t xml:space="preserve"> Chief Engineer SWD Central Zone</t>
  </si>
  <si>
    <t>082-19-000028</t>
  </si>
  <si>
    <t>Drilling of Borewells and providing and laying pipeline in Garudacarpalya ward no 82</t>
  </si>
  <si>
    <t>Thirumala Electricals</t>
  </si>
  <si>
    <t>082-16-000052</t>
  </si>
  <si>
    <t xml:space="preserve"> Improvements to Roads and Drains at Pattanduru Agrahara in Garudacharapalya ward no -82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</si>
</sst>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2"/>
  <sheetViews>
    <sheetView tabSelected="1" workbookViewId="0">
      <selection activeCell="A2" sqref="A2:XFD42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3.816406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s="4" customFormat="1" ht="13" x14ac:dyDescent="0.3">
      <c r="A2" s="5">
        <v>2900</v>
      </c>
      <c r="B2" s="6" t="s">
        <v>28</v>
      </c>
      <c r="C2" s="7">
        <v>43567</v>
      </c>
      <c r="D2" s="8">
        <v>82</v>
      </c>
      <c r="E2" s="9" t="s">
        <v>52</v>
      </c>
      <c r="F2" s="8" t="s">
        <v>53</v>
      </c>
      <c r="G2" s="9" t="s">
        <v>54</v>
      </c>
      <c r="H2" s="8" t="str">
        <f>"000015"</f>
        <v>000015</v>
      </c>
      <c r="I2" s="7">
        <v>42625</v>
      </c>
      <c r="J2" s="8" t="str">
        <f>"000005"</f>
        <v>000005</v>
      </c>
      <c r="K2" s="7">
        <v>42873</v>
      </c>
      <c r="L2" s="8" t="str">
        <f>"000009"</f>
        <v>000009</v>
      </c>
      <c r="M2" s="7">
        <v>42874</v>
      </c>
      <c r="N2" s="8">
        <v>16</v>
      </c>
      <c r="O2" s="8" t="str">
        <f>"006133"</f>
        <v>006133</v>
      </c>
      <c r="P2" s="7">
        <v>42999</v>
      </c>
      <c r="Q2" s="10">
        <v>5.2000099999999998</v>
      </c>
      <c r="R2" s="10">
        <v>0.64576</v>
      </c>
      <c r="S2" s="10">
        <v>4.5542499999999997</v>
      </c>
      <c r="T2" s="8">
        <v>17</v>
      </c>
      <c r="U2" s="7">
        <v>43567</v>
      </c>
      <c r="V2" s="8">
        <v>9845046438</v>
      </c>
      <c r="W2" s="9" t="s">
        <v>55</v>
      </c>
      <c r="X2" s="8" t="s">
        <v>29</v>
      </c>
      <c r="Y2" s="9" t="s">
        <v>30</v>
      </c>
      <c r="Z2" s="8" t="s">
        <v>44</v>
      </c>
      <c r="AA2" s="9" t="s">
        <v>45</v>
      </c>
      <c r="AB2" s="10">
        <f t="shared" ref="AB2:AB15" si="0">Q2/100</f>
        <v>5.20001E-2</v>
      </c>
    </row>
    <row r="3" spans="1:28" s="4" customFormat="1" ht="13" x14ac:dyDescent="0.3">
      <c r="A3" s="5">
        <v>2901</v>
      </c>
      <c r="B3" s="6" t="s">
        <v>28</v>
      </c>
      <c r="C3" s="7">
        <v>43579</v>
      </c>
      <c r="D3" s="8">
        <v>82</v>
      </c>
      <c r="E3" s="9" t="s">
        <v>52</v>
      </c>
      <c r="F3" s="8" t="s">
        <v>56</v>
      </c>
      <c r="G3" s="9" t="s">
        <v>57</v>
      </c>
      <c r="H3" s="8" t="str">
        <f>"000140"</f>
        <v>000140</v>
      </c>
      <c r="I3" s="7">
        <v>42903</v>
      </c>
      <c r="J3" s="8" t="str">
        <f>"000094"</f>
        <v>000094</v>
      </c>
      <c r="K3" s="7">
        <v>43463</v>
      </c>
      <c r="L3" s="8" t="str">
        <f>"000223"</f>
        <v>000223</v>
      </c>
      <c r="M3" s="7">
        <v>43463</v>
      </c>
      <c r="N3" s="8">
        <v>17</v>
      </c>
      <c r="O3" s="8" t="str">
        <f>"000876"</f>
        <v>000876</v>
      </c>
      <c r="P3" s="7">
        <v>43578</v>
      </c>
      <c r="Q3" s="10">
        <v>39.980759999999997</v>
      </c>
      <c r="R3" s="10">
        <v>4.8979499999999998</v>
      </c>
      <c r="S3" s="10">
        <v>35.082810000000002</v>
      </c>
      <c r="T3" s="8">
        <v>26</v>
      </c>
      <c r="U3" s="7">
        <v>43579</v>
      </c>
      <c r="V3" s="8">
        <v>9480828222</v>
      </c>
      <c r="W3" s="9" t="s">
        <v>37</v>
      </c>
      <c r="X3" s="8" t="s">
        <v>35</v>
      </c>
      <c r="Y3" s="9" t="s">
        <v>36</v>
      </c>
      <c r="Z3" s="8" t="s">
        <v>48</v>
      </c>
      <c r="AA3" s="9" t="s">
        <v>49</v>
      </c>
      <c r="AB3" s="10">
        <f t="shared" si="0"/>
        <v>0.39980759999999999</v>
      </c>
    </row>
    <row r="4" spans="1:28" s="4" customFormat="1" ht="13" x14ac:dyDescent="0.3">
      <c r="A4" s="5">
        <v>2902</v>
      </c>
      <c r="B4" s="6" t="s">
        <v>34</v>
      </c>
      <c r="C4" s="7">
        <v>43591</v>
      </c>
      <c r="D4" s="8">
        <v>82</v>
      </c>
      <c r="E4" s="9" t="s">
        <v>52</v>
      </c>
      <c r="F4" s="8" t="s">
        <v>61</v>
      </c>
      <c r="G4" s="9" t="s">
        <v>62</v>
      </c>
      <c r="H4" s="8" t="str">
        <f>"000145"</f>
        <v>000145</v>
      </c>
      <c r="I4" s="7">
        <v>43404</v>
      </c>
      <c r="J4" s="8" t="str">
        <f>"000119"</f>
        <v>000119</v>
      </c>
      <c r="K4" s="7">
        <v>43547</v>
      </c>
      <c r="L4" s="8" t="str">
        <f>"000288"</f>
        <v>000288</v>
      </c>
      <c r="M4" s="7">
        <v>43547</v>
      </c>
      <c r="N4" s="8">
        <v>18</v>
      </c>
      <c r="O4" s="8" t="str">
        <f>"001313"</f>
        <v>001313</v>
      </c>
      <c r="P4" s="7">
        <v>43588</v>
      </c>
      <c r="Q4" s="10">
        <v>19.984570000000001</v>
      </c>
      <c r="R4" s="10">
        <v>2.0258400000000001</v>
      </c>
      <c r="S4" s="10">
        <v>17.958729999999999</v>
      </c>
      <c r="T4" s="8">
        <v>35</v>
      </c>
      <c r="U4" s="7">
        <v>43591</v>
      </c>
      <c r="V4" s="8">
        <v>9480828222</v>
      </c>
      <c r="W4" s="9" t="s">
        <v>63</v>
      </c>
      <c r="X4" s="8" t="s">
        <v>42</v>
      </c>
      <c r="Y4" s="9" t="s">
        <v>43</v>
      </c>
      <c r="Z4" s="8" t="s">
        <v>48</v>
      </c>
      <c r="AA4" s="9" t="s">
        <v>49</v>
      </c>
      <c r="AB4" s="10">
        <f t="shared" si="0"/>
        <v>0.19984570000000001</v>
      </c>
    </row>
    <row r="5" spans="1:28" s="4" customFormat="1" ht="13" x14ac:dyDescent="0.3">
      <c r="A5" s="5">
        <v>2903</v>
      </c>
      <c r="B5" s="6" t="s">
        <v>34</v>
      </c>
      <c r="C5" s="7">
        <v>43591</v>
      </c>
      <c r="D5" s="8">
        <v>82</v>
      </c>
      <c r="E5" s="9" t="s">
        <v>52</v>
      </c>
      <c r="F5" s="8" t="s">
        <v>64</v>
      </c>
      <c r="G5" s="9" t="s">
        <v>65</v>
      </c>
      <c r="H5" s="8" t="str">
        <f>"000015"</f>
        <v>000015</v>
      </c>
      <c r="I5" s="7">
        <v>42466</v>
      </c>
      <c r="J5" s="8" t="str">
        <f>"000018"</f>
        <v>000018</v>
      </c>
      <c r="K5" s="7">
        <v>42977</v>
      </c>
      <c r="L5" s="8" t="str">
        <f>"000049"</f>
        <v>000049</v>
      </c>
      <c r="M5" s="7">
        <v>42977</v>
      </c>
      <c r="N5" s="8">
        <v>16</v>
      </c>
      <c r="O5" s="8" t="str">
        <f>"001299"</f>
        <v>001299</v>
      </c>
      <c r="P5" s="7">
        <v>43587</v>
      </c>
      <c r="Q5" s="10">
        <v>19.6843</v>
      </c>
      <c r="R5" s="10">
        <v>2.5343300000000002</v>
      </c>
      <c r="S5" s="10">
        <v>17.14997</v>
      </c>
      <c r="T5" s="8">
        <v>37</v>
      </c>
      <c r="U5" s="7">
        <v>43591</v>
      </c>
      <c r="V5" s="8">
        <v>9880446969</v>
      </c>
      <c r="W5" s="9" t="s">
        <v>66</v>
      </c>
      <c r="X5" s="8" t="s">
        <v>46</v>
      </c>
      <c r="Y5" s="9" t="s">
        <v>47</v>
      </c>
      <c r="Z5" s="8" t="s">
        <v>48</v>
      </c>
      <c r="AA5" s="9" t="s">
        <v>49</v>
      </c>
      <c r="AB5" s="10">
        <f t="shared" si="0"/>
        <v>0.19684299999999999</v>
      </c>
    </row>
    <row r="6" spans="1:28" s="4" customFormat="1" ht="13" x14ac:dyDescent="0.3">
      <c r="A6" s="5">
        <v>2904</v>
      </c>
      <c r="B6" s="6" t="s">
        <v>34</v>
      </c>
      <c r="C6" s="7">
        <v>43603</v>
      </c>
      <c r="D6" s="8">
        <v>82</v>
      </c>
      <c r="E6" s="9" t="s">
        <v>52</v>
      </c>
      <c r="F6" s="8" t="s">
        <v>67</v>
      </c>
      <c r="G6" s="9" t="s">
        <v>68</v>
      </c>
      <c r="H6" s="8" t="str">
        <f>"00"</f>
        <v>00</v>
      </c>
      <c r="I6" s="7">
        <v>227</v>
      </c>
      <c r="J6" s="8" t="str">
        <f>"000032"</f>
        <v>000032</v>
      </c>
      <c r="K6" s="7">
        <v>43014</v>
      </c>
      <c r="L6" s="8" t="str">
        <f>"000080"</f>
        <v>000080</v>
      </c>
      <c r="M6" s="7">
        <v>43014</v>
      </c>
      <c r="N6" s="8">
        <v>17</v>
      </c>
      <c r="O6" s="8" t="str">
        <f>"001691"</f>
        <v>001691</v>
      </c>
      <c r="P6" s="7">
        <v>43602</v>
      </c>
      <c r="Q6" s="10">
        <v>19.787469999999999</v>
      </c>
      <c r="R6" s="10">
        <v>2.6159500000000002</v>
      </c>
      <c r="S6" s="10">
        <v>17.171520000000001</v>
      </c>
      <c r="T6" s="8">
        <v>50</v>
      </c>
      <c r="U6" s="7">
        <v>43603</v>
      </c>
      <c r="V6" s="8">
        <v>9731299925</v>
      </c>
      <c r="W6" s="9" t="s">
        <v>69</v>
      </c>
      <c r="X6" s="8" t="s">
        <v>32</v>
      </c>
      <c r="Y6" s="9" t="s">
        <v>33</v>
      </c>
      <c r="Z6" s="8" t="s">
        <v>48</v>
      </c>
      <c r="AA6" s="9" t="s">
        <v>49</v>
      </c>
      <c r="AB6" s="10">
        <f t="shared" si="0"/>
        <v>0.19787469999999999</v>
      </c>
    </row>
    <row r="7" spans="1:28" s="4" customFormat="1" ht="13" x14ac:dyDescent="0.3">
      <c r="A7" s="5">
        <v>2905</v>
      </c>
      <c r="B7" s="6" t="s">
        <v>34</v>
      </c>
      <c r="C7" s="7">
        <v>43603</v>
      </c>
      <c r="D7" s="8">
        <v>82</v>
      </c>
      <c r="E7" s="9" t="s">
        <v>52</v>
      </c>
      <c r="F7" s="8" t="s">
        <v>70</v>
      </c>
      <c r="G7" s="9" t="s">
        <v>71</v>
      </c>
      <c r="H7" s="8" t="str">
        <f>"00"</f>
        <v>00</v>
      </c>
      <c r="I7" s="7">
        <v>228</v>
      </c>
      <c r="J7" s="8" t="str">
        <f>"000034"</f>
        <v>000034</v>
      </c>
      <c r="K7" s="7">
        <v>43014</v>
      </c>
      <c r="L7" s="8" t="str">
        <f>"000081"</f>
        <v>000081</v>
      </c>
      <c r="M7" s="7">
        <v>43014</v>
      </c>
      <c r="N7" s="8">
        <v>17</v>
      </c>
      <c r="O7" s="8" t="str">
        <f>"001692"</f>
        <v>001692</v>
      </c>
      <c r="P7" s="7">
        <v>43602</v>
      </c>
      <c r="Q7" s="10">
        <v>14.752739999999999</v>
      </c>
      <c r="R7" s="10">
        <v>1.66703</v>
      </c>
      <c r="S7" s="10">
        <v>13.085710000000001</v>
      </c>
      <c r="T7" s="8">
        <v>50</v>
      </c>
      <c r="U7" s="7">
        <v>43603</v>
      </c>
      <c r="V7" s="8">
        <v>9731299925</v>
      </c>
      <c r="W7" s="9" t="s">
        <v>69</v>
      </c>
      <c r="X7" s="8" t="s">
        <v>32</v>
      </c>
      <c r="Y7" s="9" t="s">
        <v>33</v>
      </c>
      <c r="Z7" s="8" t="s">
        <v>48</v>
      </c>
      <c r="AA7" s="9" t="s">
        <v>49</v>
      </c>
      <c r="AB7" s="10">
        <f t="shared" si="0"/>
        <v>0.1475274</v>
      </c>
    </row>
    <row r="8" spans="1:28" s="4" customFormat="1" ht="13" x14ac:dyDescent="0.3">
      <c r="A8" s="5">
        <v>2906</v>
      </c>
      <c r="B8" s="6" t="s">
        <v>34</v>
      </c>
      <c r="C8" s="7">
        <v>43603</v>
      </c>
      <c r="D8" s="8">
        <v>82</v>
      </c>
      <c r="E8" s="9" t="s">
        <v>52</v>
      </c>
      <c r="F8" s="8" t="s">
        <v>72</v>
      </c>
      <c r="G8" s="9" t="s">
        <v>73</v>
      </c>
      <c r="H8" s="8" t="str">
        <f>"00"</f>
        <v>00</v>
      </c>
      <c r="I8" s="7">
        <v>226</v>
      </c>
      <c r="J8" s="8" t="str">
        <f>"000033"</f>
        <v>000033</v>
      </c>
      <c r="K8" s="7">
        <v>43014</v>
      </c>
      <c r="L8" s="8" t="str">
        <f>"000082"</f>
        <v>000082</v>
      </c>
      <c r="M8" s="7">
        <v>43014</v>
      </c>
      <c r="N8" s="8">
        <v>17</v>
      </c>
      <c r="O8" s="8" t="str">
        <f>"001693"</f>
        <v>001693</v>
      </c>
      <c r="P8" s="7">
        <v>43602</v>
      </c>
      <c r="Q8" s="10">
        <v>19.783259999999999</v>
      </c>
      <c r="R8" s="10">
        <v>2.61049</v>
      </c>
      <c r="S8" s="10">
        <v>17.17277</v>
      </c>
      <c r="T8" s="8">
        <v>50</v>
      </c>
      <c r="U8" s="7">
        <v>43603</v>
      </c>
      <c r="V8" s="8">
        <v>9731299925</v>
      </c>
      <c r="W8" s="9" t="s">
        <v>69</v>
      </c>
      <c r="X8" s="8" t="s">
        <v>32</v>
      </c>
      <c r="Y8" s="9" t="s">
        <v>33</v>
      </c>
      <c r="Z8" s="8" t="s">
        <v>48</v>
      </c>
      <c r="AA8" s="9" t="s">
        <v>49</v>
      </c>
      <c r="AB8" s="10">
        <f t="shared" si="0"/>
        <v>0.1978326</v>
      </c>
    </row>
    <row r="9" spans="1:28" s="4" customFormat="1" ht="13" x14ac:dyDescent="0.3">
      <c r="A9" s="5">
        <v>2907</v>
      </c>
      <c r="B9" s="6" t="s">
        <v>34</v>
      </c>
      <c r="C9" s="7">
        <v>43606</v>
      </c>
      <c r="D9" s="8">
        <v>82</v>
      </c>
      <c r="E9" s="9" t="s">
        <v>52</v>
      </c>
      <c r="F9" s="8" t="s">
        <v>53</v>
      </c>
      <c r="G9" s="9" t="s">
        <v>54</v>
      </c>
      <c r="H9" s="8" t="str">
        <f>"000015"</f>
        <v>000015</v>
      </c>
      <c r="I9" s="7">
        <v>42625</v>
      </c>
      <c r="J9" s="8" t="str">
        <f>"000005"</f>
        <v>000005</v>
      </c>
      <c r="K9" s="7">
        <v>42873</v>
      </c>
      <c r="L9" s="8" t="str">
        <f>"000009"</f>
        <v>000009</v>
      </c>
      <c r="M9" s="7">
        <v>42874</v>
      </c>
      <c r="N9" s="8">
        <v>16</v>
      </c>
      <c r="O9" s="8" t="str">
        <f>"006133"</f>
        <v>006133</v>
      </c>
      <c r="P9" s="7">
        <v>42999</v>
      </c>
      <c r="Q9" s="10">
        <v>13.000019999999999</v>
      </c>
      <c r="R9" s="10">
        <v>1.6069</v>
      </c>
      <c r="S9" s="10">
        <v>11.39312</v>
      </c>
      <c r="T9" s="8">
        <v>55</v>
      </c>
      <c r="U9" s="7">
        <v>43606</v>
      </c>
      <c r="V9" s="8">
        <v>9845046438</v>
      </c>
      <c r="W9" s="9" t="s">
        <v>74</v>
      </c>
      <c r="X9" s="8" t="s">
        <v>29</v>
      </c>
      <c r="Y9" s="9" t="s">
        <v>30</v>
      </c>
      <c r="Z9" s="8" t="s">
        <v>44</v>
      </c>
      <c r="AA9" s="9" t="s">
        <v>45</v>
      </c>
      <c r="AB9" s="10">
        <f t="shared" si="0"/>
        <v>0.13000019999999998</v>
      </c>
    </row>
    <row r="10" spans="1:28" s="4" customFormat="1" ht="13" x14ac:dyDescent="0.3">
      <c r="A10" s="5">
        <v>2908</v>
      </c>
      <c r="B10" s="6" t="s">
        <v>34</v>
      </c>
      <c r="C10" s="7">
        <v>43606</v>
      </c>
      <c r="D10" s="8">
        <v>82</v>
      </c>
      <c r="E10" s="9" t="s">
        <v>52</v>
      </c>
      <c r="F10" s="8" t="s">
        <v>53</v>
      </c>
      <c r="G10" s="9" t="s">
        <v>54</v>
      </c>
      <c r="H10" s="8" t="str">
        <f>"000015"</f>
        <v>000015</v>
      </c>
      <c r="I10" s="7">
        <v>42625</v>
      </c>
      <c r="J10" s="8" t="str">
        <f>"000005"</f>
        <v>000005</v>
      </c>
      <c r="K10" s="7">
        <v>42873</v>
      </c>
      <c r="L10" s="8" t="str">
        <f>"000009"</f>
        <v>000009</v>
      </c>
      <c r="M10" s="7">
        <v>42874</v>
      </c>
      <c r="N10" s="8">
        <v>16</v>
      </c>
      <c r="O10" s="8" t="str">
        <f>"006133"</f>
        <v>006133</v>
      </c>
      <c r="P10" s="7">
        <v>42999</v>
      </c>
      <c r="Q10" s="10">
        <v>7.8003</v>
      </c>
      <c r="R10" s="10">
        <v>1.0361499999999999</v>
      </c>
      <c r="S10" s="10">
        <v>6.7641499999999999</v>
      </c>
      <c r="T10" s="8">
        <v>55</v>
      </c>
      <c r="U10" s="7">
        <v>43606</v>
      </c>
      <c r="V10" s="8">
        <v>9845046438</v>
      </c>
      <c r="W10" s="9" t="s">
        <v>55</v>
      </c>
      <c r="X10" s="8" t="s">
        <v>29</v>
      </c>
      <c r="Y10" s="9" t="s">
        <v>30</v>
      </c>
      <c r="Z10" s="8" t="s">
        <v>44</v>
      </c>
      <c r="AA10" s="9" t="s">
        <v>45</v>
      </c>
      <c r="AB10" s="10">
        <f t="shared" si="0"/>
        <v>7.8003000000000003E-2</v>
      </c>
    </row>
    <row r="11" spans="1:28" s="4" customFormat="1" ht="13" x14ac:dyDescent="0.3">
      <c r="A11" s="5">
        <v>2909</v>
      </c>
      <c r="B11" s="6" t="s">
        <v>34</v>
      </c>
      <c r="C11" s="7">
        <v>43609</v>
      </c>
      <c r="D11" s="8">
        <v>82</v>
      </c>
      <c r="E11" s="9" t="s">
        <v>52</v>
      </c>
      <c r="F11" s="8" t="s">
        <v>75</v>
      </c>
      <c r="G11" s="9" t="s">
        <v>76</v>
      </c>
      <c r="H11" s="8" t="str">
        <f>"000082"</f>
        <v>000082</v>
      </c>
      <c r="I11" s="7">
        <v>43034</v>
      </c>
      <c r="J11" s="8" t="str">
        <f>"000037"</f>
        <v>000037</v>
      </c>
      <c r="K11" s="7">
        <v>43034</v>
      </c>
      <c r="L11" s="8" t="str">
        <f>"000101"</f>
        <v>000101</v>
      </c>
      <c r="M11" s="7">
        <v>43034</v>
      </c>
      <c r="N11" s="8">
        <v>16</v>
      </c>
      <c r="O11" s="8" t="str">
        <f>"001975"</f>
        <v>001975</v>
      </c>
      <c r="P11" s="7">
        <v>43607</v>
      </c>
      <c r="Q11" s="10">
        <v>19.697330000000001</v>
      </c>
      <c r="R11" s="10">
        <v>2.8177500000000002</v>
      </c>
      <c r="S11" s="10">
        <v>16.879580000000001</v>
      </c>
      <c r="T11" s="8">
        <v>57</v>
      </c>
      <c r="U11" s="7">
        <v>43609</v>
      </c>
      <c r="V11" s="8">
        <v>9480828222</v>
      </c>
      <c r="W11" s="9" t="s">
        <v>77</v>
      </c>
      <c r="X11" s="8" t="s">
        <v>38</v>
      </c>
      <c r="Y11" s="9" t="s">
        <v>39</v>
      </c>
      <c r="Z11" s="8" t="s">
        <v>48</v>
      </c>
      <c r="AA11" s="9" t="s">
        <v>49</v>
      </c>
      <c r="AB11" s="10">
        <f t="shared" si="0"/>
        <v>0.19697330000000002</v>
      </c>
    </row>
    <row r="12" spans="1:28" s="4" customFormat="1" ht="13" x14ac:dyDescent="0.3">
      <c r="A12" s="5">
        <v>2910</v>
      </c>
      <c r="B12" s="6" t="s">
        <v>34</v>
      </c>
      <c r="C12" s="7">
        <v>43609</v>
      </c>
      <c r="D12" s="8">
        <v>82</v>
      </c>
      <c r="E12" s="9" t="s">
        <v>52</v>
      </c>
      <c r="F12" s="8" t="s">
        <v>78</v>
      </c>
      <c r="G12" s="9" t="s">
        <v>79</v>
      </c>
      <c r="H12" s="8" t="str">
        <f>"000001"</f>
        <v>000001</v>
      </c>
      <c r="I12" s="7">
        <v>43034</v>
      </c>
      <c r="J12" s="8" t="str">
        <f>"000038"</f>
        <v>000038</v>
      </c>
      <c r="K12" s="7">
        <v>43034</v>
      </c>
      <c r="L12" s="8" t="str">
        <f>"000102"</f>
        <v>000102</v>
      </c>
      <c r="M12" s="7">
        <v>43034</v>
      </c>
      <c r="N12" s="8">
        <v>16</v>
      </c>
      <c r="O12" s="8" t="str">
        <f>"001976"</f>
        <v>001976</v>
      </c>
      <c r="P12" s="7">
        <v>43607</v>
      </c>
      <c r="Q12" s="10">
        <v>48.899720000000002</v>
      </c>
      <c r="R12" s="10">
        <v>5.8216299999999999</v>
      </c>
      <c r="S12" s="10">
        <v>43.078090000000003</v>
      </c>
      <c r="T12" s="8">
        <v>57</v>
      </c>
      <c r="U12" s="7">
        <v>43609</v>
      </c>
      <c r="V12" s="8">
        <v>9480828222</v>
      </c>
      <c r="W12" s="9" t="s">
        <v>77</v>
      </c>
      <c r="X12" s="8" t="s">
        <v>38</v>
      </c>
      <c r="Y12" s="9" t="s">
        <v>39</v>
      </c>
      <c r="Z12" s="8" t="s">
        <v>48</v>
      </c>
      <c r="AA12" s="9" t="s">
        <v>49</v>
      </c>
      <c r="AB12" s="10">
        <f t="shared" si="0"/>
        <v>0.48899720000000002</v>
      </c>
    </row>
    <row r="13" spans="1:28" s="4" customFormat="1" ht="13" x14ac:dyDescent="0.3">
      <c r="A13" s="5">
        <v>2911</v>
      </c>
      <c r="B13" s="6" t="s">
        <v>34</v>
      </c>
      <c r="C13" s="7">
        <v>43612</v>
      </c>
      <c r="D13" s="8">
        <v>82</v>
      </c>
      <c r="E13" s="9" t="s">
        <v>52</v>
      </c>
      <c r="F13" s="8" t="s">
        <v>80</v>
      </c>
      <c r="G13" s="9" t="s">
        <v>81</v>
      </c>
      <c r="H13" s="8" t="str">
        <f>"000152"</f>
        <v>000152</v>
      </c>
      <c r="I13" s="7">
        <v>42587</v>
      </c>
      <c r="J13" s="8" t="str">
        <f>"000082"</f>
        <v>000082</v>
      </c>
      <c r="K13" s="7">
        <v>43131</v>
      </c>
      <c r="L13" s="8" t="str">
        <f>"000248"</f>
        <v>000248</v>
      </c>
      <c r="M13" s="7">
        <v>43131</v>
      </c>
      <c r="N13" s="8">
        <v>16</v>
      </c>
      <c r="O13" s="8" t="str">
        <f>"001874"</f>
        <v>001874</v>
      </c>
      <c r="P13" s="7">
        <v>43606</v>
      </c>
      <c r="Q13" s="10">
        <v>1.9274800000000001</v>
      </c>
      <c r="R13" s="10">
        <v>0.18068000000000001</v>
      </c>
      <c r="S13" s="10">
        <v>1.7467999999999999</v>
      </c>
      <c r="T13" s="8">
        <v>62</v>
      </c>
      <c r="U13" s="7">
        <v>43612</v>
      </c>
      <c r="V13" s="8">
        <v>9341482424</v>
      </c>
      <c r="W13" s="9" t="s">
        <v>82</v>
      </c>
      <c r="X13" s="8" t="s">
        <v>32</v>
      </c>
      <c r="Y13" s="9" t="s">
        <v>33</v>
      </c>
      <c r="Z13" s="8" t="s">
        <v>48</v>
      </c>
      <c r="AA13" s="9" t="s">
        <v>49</v>
      </c>
      <c r="AB13" s="10">
        <f t="shared" si="0"/>
        <v>1.9274800000000002E-2</v>
      </c>
    </row>
    <row r="14" spans="1:28" s="4" customFormat="1" ht="13" x14ac:dyDescent="0.3">
      <c r="A14" s="5">
        <v>2912</v>
      </c>
      <c r="B14" s="6" t="s">
        <v>34</v>
      </c>
      <c r="C14" s="7">
        <v>43612</v>
      </c>
      <c r="D14" s="8">
        <v>82</v>
      </c>
      <c r="E14" s="9" t="s">
        <v>52</v>
      </c>
      <c r="F14" s="8" t="s">
        <v>83</v>
      </c>
      <c r="G14" s="9" t="s">
        <v>84</v>
      </c>
      <c r="H14" s="8" t="str">
        <f>"000119"</f>
        <v>000119</v>
      </c>
      <c r="I14" s="7">
        <v>43399</v>
      </c>
      <c r="J14" s="8" t="str">
        <f>"000077"</f>
        <v>000077</v>
      </c>
      <c r="K14" s="7">
        <v>43399</v>
      </c>
      <c r="L14" s="8" t="str">
        <f>"000170"</f>
        <v>000170</v>
      </c>
      <c r="M14" s="7">
        <v>43399</v>
      </c>
      <c r="N14" s="8">
        <v>18</v>
      </c>
      <c r="O14" s="8" t="str">
        <f>"001877"</f>
        <v>001877</v>
      </c>
      <c r="P14" s="7">
        <v>43606</v>
      </c>
      <c r="Q14" s="10">
        <v>27.203489999999999</v>
      </c>
      <c r="R14" s="10">
        <v>2.9297300000000002</v>
      </c>
      <c r="S14" s="10">
        <v>24.273759999999999</v>
      </c>
      <c r="T14" s="8">
        <v>62</v>
      </c>
      <c r="U14" s="7">
        <v>43612</v>
      </c>
      <c r="V14" s="8">
        <v>9480828222</v>
      </c>
      <c r="W14" s="9" t="s">
        <v>85</v>
      </c>
      <c r="X14" s="8" t="s">
        <v>40</v>
      </c>
      <c r="Y14" s="9" t="s">
        <v>41</v>
      </c>
      <c r="Z14" s="8" t="s">
        <v>48</v>
      </c>
      <c r="AA14" s="9" t="s">
        <v>49</v>
      </c>
      <c r="AB14" s="10">
        <f t="shared" si="0"/>
        <v>0.27203489999999997</v>
      </c>
    </row>
    <row r="15" spans="1:28" s="4" customFormat="1" ht="13" x14ac:dyDescent="0.3">
      <c r="A15" s="5">
        <v>2913</v>
      </c>
      <c r="B15" s="6" t="s">
        <v>34</v>
      </c>
      <c r="C15" s="7">
        <v>43615</v>
      </c>
      <c r="D15" s="8">
        <v>82</v>
      </c>
      <c r="E15" s="9" t="s">
        <v>52</v>
      </c>
      <c r="F15" s="8" t="s">
        <v>86</v>
      </c>
      <c r="G15" s="9" t="s">
        <v>87</v>
      </c>
      <c r="H15" s="8" t="str">
        <f>"000100"</f>
        <v>000100</v>
      </c>
      <c r="I15" s="7">
        <v>43069</v>
      </c>
      <c r="J15" s="8" t="str">
        <f>"000050"</f>
        <v>000050</v>
      </c>
      <c r="K15" s="7">
        <v>43069</v>
      </c>
      <c r="L15" s="8" t="str">
        <f>"000138"</f>
        <v>000138</v>
      </c>
      <c r="M15" s="7">
        <v>43069</v>
      </c>
      <c r="N15" s="8">
        <v>17</v>
      </c>
      <c r="O15" s="8" t="str">
        <f>"002245"</f>
        <v>002245</v>
      </c>
      <c r="P15" s="7">
        <v>43613</v>
      </c>
      <c r="Q15" s="10">
        <v>19.058979999999998</v>
      </c>
      <c r="R15" s="10">
        <v>2.4215200000000001</v>
      </c>
      <c r="S15" s="10">
        <v>16.637460000000001</v>
      </c>
      <c r="T15" s="8">
        <v>65</v>
      </c>
      <c r="U15" s="7">
        <v>43615</v>
      </c>
      <c r="V15" s="8">
        <v>9731299925</v>
      </c>
      <c r="W15" s="9" t="s">
        <v>88</v>
      </c>
      <c r="X15" s="8" t="s">
        <v>50</v>
      </c>
      <c r="Y15" s="9" t="s">
        <v>51</v>
      </c>
      <c r="Z15" s="8" t="s">
        <v>48</v>
      </c>
      <c r="AA15" s="9" t="s">
        <v>49</v>
      </c>
      <c r="AB15" s="10">
        <f t="shared" si="0"/>
        <v>0.19058979999999998</v>
      </c>
    </row>
    <row r="16" spans="1:28" s="4" customFormat="1" ht="13" x14ac:dyDescent="0.3">
      <c r="A16" s="5">
        <v>2914</v>
      </c>
      <c r="B16" s="6" t="s">
        <v>31</v>
      </c>
      <c r="C16" s="7">
        <v>43636</v>
      </c>
      <c r="D16" s="8">
        <v>82</v>
      </c>
      <c r="E16" s="9" t="s">
        <v>52</v>
      </c>
      <c r="F16" s="8" t="s">
        <v>58</v>
      </c>
      <c r="G16" s="9" t="s">
        <v>59</v>
      </c>
      <c r="H16" s="8" t="str">
        <f>"000117"</f>
        <v>000117</v>
      </c>
      <c r="I16" s="7">
        <v>43098</v>
      </c>
      <c r="J16" s="8" t="str">
        <f>"000054"</f>
        <v>000054</v>
      </c>
      <c r="K16" s="7">
        <v>43098</v>
      </c>
      <c r="L16" s="8" t="str">
        <f>"000177"</f>
        <v>000177</v>
      </c>
      <c r="M16" s="7">
        <v>43098</v>
      </c>
      <c r="N16" s="8">
        <v>17</v>
      </c>
      <c r="O16" s="8" t="str">
        <f>"002793"</f>
        <v>002793</v>
      </c>
      <c r="P16" s="7">
        <v>43633</v>
      </c>
      <c r="Q16" s="10">
        <v>49.326540000000001</v>
      </c>
      <c r="R16" s="10">
        <v>5.1823199999999998</v>
      </c>
      <c r="S16" s="10">
        <v>44.144219999999997</v>
      </c>
      <c r="T16" s="8">
        <v>89</v>
      </c>
      <c r="U16" s="7">
        <v>43636</v>
      </c>
      <c r="V16" s="8">
        <v>9480828222</v>
      </c>
      <c r="W16" s="9" t="s">
        <v>60</v>
      </c>
      <c r="X16" s="8" t="s">
        <v>32</v>
      </c>
      <c r="Y16" s="9" t="s">
        <v>33</v>
      </c>
      <c r="Z16" s="8" t="s">
        <v>48</v>
      </c>
      <c r="AA16" s="9" t="s">
        <v>49</v>
      </c>
      <c r="AB16" s="10">
        <v>0.49326540000000002</v>
      </c>
    </row>
    <row r="17" spans="1:33" s="4" customFormat="1" ht="13" x14ac:dyDescent="0.3">
      <c r="A17" s="5">
        <v>2915</v>
      </c>
      <c r="B17" s="6" t="s">
        <v>89</v>
      </c>
      <c r="C17" s="7">
        <v>43647</v>
      </c>
      <c r="D17" s="8">
        <v>82</v>
      </c>
      <c r="E17" s="9" t="s">
        <v>52</v>
      </c>
      <c r="F17" s="8" t="s">
        <v>90</v>
      </c>
      <c r="G17" s="11" t="s">
        <v>91</v>
      </c>
      <c r="H17" s="8" t="str">
        <f>"000342"</f>
        <v>000342</v>
      </c>
      <c r="I17" s="7">
        <v>43534</v>
      </c>
      <c r="J17" s="8" t="str">
        <f>"000060"</f>
        <v>000060</v>
      </c>
      <c r="K17" s="7">
        <v>43694</v>
      </c>
      <c r="L17" s="8" t="str">
        <f>"000102"</f>
        <v>000102</v>
      </c>
      <c r="M17" s="7">
        <v>43694</v>
      </c>
      <c r="N17" s="8">
        <v>19</v>
      </c>
      <c r="O17" s="8" t="str">
        <f>"004754"</f>
        <v>004754</v>
      </c>
      <c r="P17" s="7">
        <v>43700</v>
      </c>
      <c r="Q17" s="12">
        <v>42.066659999999999</v>
      </c>
      <c r="R17" s="12">
        <v>2.2491599999999998</v>
      </c>
      <c r="S17" s="12">
        <v>39.817500000000003</v>
      </c>
      <c r="T17" s="8">
        <v>97</v>
      </c>
      <c r="U17" s="7">
        <v>43647</v>
      </c>
      <c r="V17" s="8">
        <v>9008000879</v>
      </c>
      <c r="W17" s="11" t="s">
        <v>92</v>
      </c>
      <c r="X17" s="8" t="s">
        <v>93</v>
      </c>
      <c r="Y17" s="11" t="s">
        <v>94</v>
      </c>
      <c r="Z17" s="8" t="s">
        <v>48</v>
      </c>
      <c r="AA17" s="11" t="s">
        <v>49</v>
      </c>
      <c r="AB17" s="12">
        <f t="shared" ref="AB17:AB28" si="1">Q17/100</f>
        <v>0.4206666</v>
      </c>
    </row>
    <row r="18" spans="1:33" s="4" customFormat="1" ht="13" x14ac:dyDescent="0.3">
      <c r="A18" s="5">
        <v>2916</v>
      </c>
      <c r="B18" s="6" t="s">
        <v>89</v>
      </c>
      <c r="C18" s="7">
        <v>43647</v>
      </c>
      <c r="D18" s="8">
        <v>82</v>
      </c>
      <c r="E18" s="9" t="s">
        <v>52</v>
      </c>
      <c r="F18" s="8" t="s">
        <v>95</v>
      </c>
      <c r="G18" s="11" t="s">
        <v>96</v>
      </c>
      <c r="H18" s="8" t="str">
        <f>"000063"</f>
        <v>000063</v>
      </c>
      <c r="I18" s="7">
        <v>43638</v>
      </c>
      <c r="J18" s="8" t="str">
        <f>"000027"</f>
        <v>000027</v>
      </c>
      <c r="K18" s="7">
        <v>43638</v>
      </c>
      <c r="L18" s="8" t="str">
        <f>"000047"</f>
        <v>000047</v>
      </c>
      <c r="M18" s="7">
        <v>43638</v>
      </c>
      <c r="N18" s="8">
        <v>18</v>
      </c>
      <c r="O18" s="8" t="str">
        <f>"003241"</f>
        <v>003241</v>
      </c>
      <c r="P18" s="7">
        <v>43644</v>
      </c>
      <c r="Q18" s="12">
        <v>39.186529999999998</v>
      </c>
      <c r="R18" s="12">
        <v>3.9770400000000001</v>
      </c>
      <c r="S18" s="12">
        <v>35.209490000000002</v>
      </c>
      <c r="T18" s="8">
        <v>99</v>
      </c>
      <c r="U18" s="7">
        <v>43647</v>
      </c>
      <c r="V18" s="8">
        <v>9480828222</v>
      </c>
      <c r="W18" s="11" t="s">
        <v>97</v>
      </c>
      <c r="X18" s="8" t="s">
        <v>98</v>
      </c>
      <c r="Y18" s="11" t="s">
        <v>99</v>
      </c>
      <c r="Z18" s="8" t="s">
        <v>48</v>
      </c>
      <c r="AA18" s="11" t="s">
        <v>49</v>
      </c>
      <c r="AB18" s="12">
        <f t="shared" si="1"/>
        <v>0.39186529999999997</v>
      </c>
    </row>
    <row r="19" spans="1:33" s="4" customFormat="1" ht="13" x14ac:dyDescent="0.3">
      <c r="A19" s="5">
        <v>2917</v>
      </c>
      <c r="B19" s="6" t="s">
        <v>89</v>
      </c>
      <c r="C19" s="7">
        <v>43654</v>
      </c>
      <c r="D19" s="8">
        <v>82</v>
      </c>
      <c r="E19" s="9" t="s">
        <v>52</v>
      </c>
      <c r="F19" s="8" t="s">
        <v>53</v>
      </c>
      <c r="G19" s="11" t="s">
        <v>54</v>
      </c>
      <c r="H19" s="8" t="str">
        <f>"000015"</f>
        <v>000015</v>
      </c>
      <c r="I19" s="7">
        <v>42625</v>
      </c>
      <c r="J19" s="8" t="str">
        <f>"000118"</f>
        <v>000118</v>
      </c>
      <c r="K19" s="7">
        <v>42758</v>
      </c>
      <c r="L19" s="8" t="str">
        <f>"000067"</f>
        <v>000067</v>
      </c>
      <c r="M19" s="7">
        <v>42758</v>
      </c>
      <c r="N19" s="8">
        <v>16</v>
      </c>
      <c r="O19" s="8" t="str">
        <f>"006001"</f>
        <v>006001</v>
      </c>
      <c r="P19" s="7">
        <v>42998</v>
      </c>
      <c r="Q19" s="12">
        <v>12.99057</v>
      </c>
      <c r="R19" s="12">
        <v>1.57792</v>
      </c>
      <c r="S19" s="12">
        <v>11.412649999999999</v>
      </c>
      <c r="T19" s="8">
        <v>109</v>
      </c>
      <c r="U19" s="7">
        <v>43654</v>
      </c>
      <c r="V19" s="8">
        <v>9845046438</v>
      </c>
      <c r="W19" s="11" t="s">
        <v>55</v>
      </c>
      <c r="X19" s="8" t="s">
        <v>29</v>
      </c>
      <c r="Y19" s="11" t="s">
        <v>30</v>
      </c>
      <c r="Z19" s="8" t="s">
        <v>44</v>
      </c>
      <c r="AA19" s="11" t="s">
        <v>45</v>
      </c>
      <c r="AB19" s="12">
        <f t="shared" si="1"/>
        <v>0.12990570000000001</v>
      </c>
    </row>
    <row r="20" spans="1:33" s="4" customFormat="1" ht="13" x14ac:dyDescent="0.3">
      <c r="A20" s="5">
        <v>2918</v>
      </c>
      <c r="B20" s="6" t="s">
        <v>89</v>
      </c>
      <c r="C20" s="7">
        <v>43669</v>
      </c>
      <c r="D20" s="8">
        <v>82</v>
      </c>
      <c r="E20" s="9" t="s">
        <v>52</v>
      </c>
      <c r="F20" s="8" t="s">
        <v>100</v>
      </c>
      <c r="G20" s="11" t="s">
        <v>101</v>
      </c>
      <c r="H20" s="8" t="str">
        <f>"000158"</f>
        <v>000158</v>
      </c>
      <c r="I20" s="7">
        <v>43138</v>
      </c>
      <c r="J20" s="8" t="str">
        <f>"000084"</f>
        <v>000084</v>
      </c>
      <c r="K20" s="7">
        <v>43138</v>
      </c>
      <c r="L20" s="8" t="str">
        <f>"000251"</f>
        <v>000251</v>
      </c>
      <c r="M20" s="7">
        <v>43138</v>
      </c>
      <c r="N20" s="8">
        <v>16</v>
      </c>
      <c r="O20" s="8" t="str">
        <f>"003528"</f>
        <v>003528</v>
      </c>
      <c r="P20" s="7">
        <v>43663</v>
      </c>
      <c r="Q20" s="12">
        <v>19.606280000000002</v>
      </c>
      <c r="R20" s="12">
        <v>2.2230500000000002</v>
      </c>
      <c r="S20" s="12">
        <v>17.383230000000001</v>
      </c>
      <c r="T20" s="8">
        <v>122</v>
      </c>
      <c r="U20" s="7">
        <v>43669</v>
      </c>
      <c r="V20" s="8">
        <v>9880818290</v>
      </c>
      <c r="W20" s="11" t="s">
        <v>102</v>
      </c>
      <c r="X20" s="8" t="s">
        <v>46</v>
      </c>
      <c r="Y20" s="11" t="s">
        <v>47</v>
      </c>
      <c r="Z20" s="8" t="s">
        <v>48</v>
      </c>
      <c r="AA20" s="11" t="s">
        <v>49</v>
      </c>
      <c r="AB20" s="12">
        <f t="shared" si="1"/>
        <v>0.19606280000000001</v>
      </c>
    </row>
    <row r="21" spans="1:33" s="4" customFormat="1" ht="13" x14ac:dyDescent="0.3">
      <c r="A21" s="5">
        <v>2919</v>
      </c>
      <c r="B21" s="6" t="s">
        <v>89</v>
      </c>
      <c r="C21" s="7">
        <v>43669</v>
      </c>
      <c r="D21" s="8">
        <v>82</v>
      </c>
      <c r="E21" s="9" t="s">
        <v>52</v>
      </c>
      <c r="F21" s="8" t="s">
        <v>103</v>
      </c>
      <c r="G21" s="11" t="s">
        <v>104</v>
      </c>
      <c r="H21" s="8" t="str">
        <f>"000132"</f>
        <v>000132</v>
      </c>
      <c r="I21" s="7">
        <v>42544</v>
      </c>
      <c r="J21" s="8" t="str">
        <f>"000085"</f>
        <v>000085</v>
      </c>
      <c r="K21" s="7">
        <v>43138</v>
      </c>
      <c r="L21" s="8" t="str">
        <f>"000252"</f>
        <v>000252</v>
      </c>
      <c r="M21" s="7">
        <v>43138</v>
      </c>
      <c r="N21" s="8">
        <v>16</v>
      </c>
      <c r="O21" s="8" t="str">
        <f>"003529"</f>
        <v>003529</v>
      </c>
      <c r="P21" s="7">
        <v>43663</v>
      </c>
      <c r="Q21" s="12">
        <v>24.788920000000001</v>
      </c>
      <c r="R21" s="12">
        <v>2.80532</v>
      </c>
      <c r="S21" s="12">
        <v>21.983599999999999</v>
      </c>
      <c r="T21" s="8">
        <v>122</v>
      </c>
      <c r="U21" s="7">
        <v>43669</v>
      </c>
      <c r="V21" s="8">
        <v>9480828222</v>
      </c>
      <c r="W21" s="11" t="s">
        <v>105</v>
      </c>
      <c r="X21" s="8" t="s">
        <v>40</v>
      </c>
      <c r="Y21" s="11" t="s">
        <v>41</v>
      </c>
      <c r="Z21" s="8" t="s">
        <v>48</v>
      </c>
      <c r="AA21" s="11" t="s">
        <v>49</v>
      </c>
      <c r="AB21" s="12">
        <f t="shared" si="1"/>
        <v>0.2478892</v>
      </c>
    </row>
    <row r="22" spans="1:33" s="4" customFormat="1" ht="13" x14ac:dyDescent="0.3">
      <c r="A22" s="5">
        <v>2920</v>
      </c>
      <c r="B22" s="6" t="s">
        <v>89</v>
      </c>
      <c r="C22" s="7">
        <v>43671</v>
      </c>
      <c r="D22" s="8">
        <v>82</v>
      </c>
      <c r="E22" s="9" t="s">
        <v>52</v>
      </c>
      <c r="F22" s="8" t="s">
        <v>106</v>
      </c>
      <c r="G22" s="11" t="s">
        <v>107</v>
      </c>
      <c r="H22" s="8" t="str">
        <f>"000229"</f>
        <v>000229</v>
      </c>
      <c r="I22" s="7">
        <v>42801</v>
      </c>
      <c r="J22" s="8" t="str">
        <f>"000087"</f>
        <v>000087</v>
      </c>
      <c r="K22" s="7">
        <v>43158</v>
      </c>
      <c r="L22" s="8" t="str">
        <f>"000263"</f>
        <v>000263</v>
      </c>
      <c r="M22" s="7">
        <v>43158</v>
      </c>
      <c r="N22" s="8">
        <v>17</v>
      </c>
      <c r="O22" s="8" t="str">
        <f>"003874"</f>
        <v>003874</v>
      </c>
      <c r="P22" s="7">
        <v>43666</v>
      </c>
      <c r="Q22" s="12">
        <v>14.82943</v>
      </c>
      <c r="R22" s="12">
        <v>1.9557</v>
      </c>
      <c r="S22" s="12">
        <v>12.87373</v>
      </c>
      <c r="T22" s="8">
        <v>125</v>
      </c>
      <c r="U22" s="7">
        <v>43671</v>
      </c>
      <c r="V22" s="8">
        <v>9480828222</v>
      </c>
      <c r="W22" s="11" t="s">
        <v>69</v>
      </c>
      <c r="X22" s="8" t="s">
        <v>50</v>
      </c>
      <c r="Y22" s="11" t="s">
        <v>108</v>
      </c>
      <c r="Z22" s="8" t="s">
        <v>48</v>
      </c>
      <c r="AA22" s="11" t="s">
        <v>49</v>
      </c>
      <c r="AB22" s="12">
        <f t="shared" si="1"/>
        <v>0.14829429999999999</v>
      </c>
    </row>
    <row r="23" spans="1:33" s="4" customFormat="1" ht="13" x14ac:dyDescent="0.3">
      <c r="A23" s="5">
        <v>2921</v>
      </c>
      <c r="B23" s="6" t="s">
        <v>109</v>
      </c>
      <c r="C23" s="7">
        <v>43697</v>
      </c>
      <c r="D23" s="8">
        <v>82</v>
      </c>
      <c r="E23" s="9" t="s">
        <v>52</v>
      </c>
      <c r="F23" s="8" t="s">
        <v>110</v>
      </c>
      <c r="G23" s="11" t="s">
        <v>111</v>
      </c>
      <c r="H23" s="8" t="str">
        <f>"000012"</f>
        <v>000012</v>
      </c>
      <c r="I23" s="7">
        <v>43627</v>
      </c>
      <c r="J23" s="8" t="str">
        <f>"000053"</f>
        <v>000053</v>
      </c>
      <c r="K23" s="7">
        <v>43627</v>
      </c>
      <c r="L23" s="8" t="str">
        <f>"000053"</f>
        <v>000053</v>
      </c>
      <c r="M23" s="7">
        <v>43627</v>
      </c>
      <c r="N23" s="8">
        <v>11</v>
      </c>
      <c r="O23" s="8" t="str">
        <f>"004575"</f>
        <v>004575</v>
      </c>
      <c r="P23" s="7">
        <v>43694</v>
      </c>
      <c r="Q23" s="12">
        <v>39.268079999999998</v>
      </c>
      <c r="R23" s="12">
        <v>2.0026600000000001</v>
      </c>
      <c r="S23" s="12">
        <v>37.265419999999999</v>
      </c>
      <c r="T23" s="8">
        <v>160</v>
      </c>
      <c r="U23" s="7">
        <v>43697</v>
      </c>
      <c r="V23" s="8">
        <v>9686660565</v>
      </c>
      <c r="W23" s="11" t="s">
        <v>112</v>
      </c>
      <c r="X23" s="8" t="s">
        <v>113</v>
      </c>
      <c r="Y23" s="11" t="s">
        <v>114</v>
      </c>
      <c r="Z23" s="8" t="s">
        <v>115</v>
      </c>
      <c r="AA23" s="11" t="s">
        <v>116</v>
      </c>
      <c r="AB23" s="12">
        <f t="shared" si="1"/>
        <v>0.3926808</v>
      </c>
    </row>
    <row r="24" spans="1:33" s="4" customFormat="1" x14ac:dyDescent="0.35">
      <c r="A24" s="5">
        <v>2922</v>
      </c>
      <c r="B24" s="6" t="s">
        <v>117</v>
      </c>
      <c r="C24" s="7">
        <v>43714</v>
      </c>
      <c r="D24" s="8">
        <v>82</v>
      </c>
      <c r="E24" s="9" t="s">
        <v>52</v>
      </c>
      <c r="F24" s="8" t="s">
        <v>118</v>
      </c>
      <c r="G24" s="11" t="s">
        <v>119</v>
      </c>
      <c r="H24" s="8" t="str">
        <f>"000146"</f>
        <v>000146</v>
      </c>
      <c r="I24" s="7">
        <v>42564</v>
      </c>
      <c r="J24" s="8" t="str">
        <f>"000100"</f>
        <v>000100</v>
      </c>
      <c r="K24" s="7">
        <v>43187</v>
      </c>
      <c r="L24" s="8" t="str">
        <f>"000279"</f>
        <v>000279</v>
      </c>
      <c r="M24" s="7">
        <v>43187</v>
      </c>
      <c r="N24" s="8">
        <v>16</v>
      </c>
      <c r="O24" s="8" t="str">
        <f>"004869"</f>
        <v>004869</v>
      </c>
      <c r="P24" s="7">
        <v>43707</v>
      </c>
      <c r="Q24" s="12">
        <v>78.759209999999996</v>
      </c>
      <c r="R24" s="12">
        <v>9.4121799999999993</v>
      </c>
      <c r="S24" s="12">
        <v>69.347030000000004</v>
      </c>
      <c r="T24" s="8">
        <v>175</v>
      </c>
      <c r="U24" s="7">
        <v>43714</v>
      </c>
      <c r="V24" s="8">
        <v>9480828222</v>
      </c>
      <c r="W24" s="11" t="s">
        <v>37</v>
      </c>
      <c r="X24" s="8" t="s">
        <v>38</v>
      </c>
      <c r="Y24" s="11" t="s">
        <v>39</v>
      </c>
      <c r="Z24" s="8" t="s">
        <v>48</v>
      </c>
      <c r="AA24" s="11" t="s">
        <v>49</v>
      </c>
      <c r="AB24" s="12">
        <f t="shared" si="1"/>
        <v>0.78759209999999991</v>
      </c>
      <c r="AC24"/>
      <c r="AD24"/>
      <c r="AE24"/>
      <c r="AF24"/>
      <c r="AG24"/>
    </row>
    <row r="25" spans="1:33" s="4" customFormat="1" x14ac:dyDescent="0.35">
      <c r="A25" s="5">
        <v>2923</v>
      </c>
      <c r="B25" s="6" t="s">
        <v>117</v>
      </c>
      <c r="C25" s="7">
        <v>43714</v>
      </c>
      <c r="D25" s="8">
        <v>82</v>
      </c>
      <c r="E25" s="9" t="s">
        <v>52</v>
      </c>
      <c r="F25" s="8" t="s">
        <v>120</v>
      </c>
      <c r="G25" s="11" t="s">
        <v>121</v>
      </c>
      <c r="H25" s="8" t="str">
        <f>"000185"</f>
        <v>000185</v>
      </c>
      <c r="I25" s="7">
        <v>43187</v>
      </c>
      <c r="J25" s="8" t="str">
        <f>"000101"</f>
        <v>000101</v>
      </c>
      <c r="K25" s="7">
        <v>43187</v>
      </c>
      <c r="L25" s="8" t="str">
        <f>"000280"</f>
        <v>000280</v>
      </c>
      <c r="M25" s="7">
        <v>43187</v>
      </c>
      <c r="N25" s="8">
        <v>16</v>
      </c>
      <c r="O25" s="8" t="str">
        <f>"004870"</f>
        <v>004870</v>
      </c>
      <c r="P25" s="7">
        <v>43707</v>
      </c>
      <c r="Q25" s="12">
        <v>147.37213</v>
      </c>
      <c r="R25" s="12">
        <v>17.077809999999999</v>
      </c>
      <c r="S25" s="12">
        <v>130.29432</v>
      </c>
      <c r="T25" s="8">
        <v>175</v>
      </c>
      <c r="U25" s="7">
        <v>43714</v>
      </c>
      <c r="V25" s="8">
        <v>9480828222</v>
      </c>
      <c r="W25" s="11" t="s">
        <v>122</v>
      </c>
      <c r="X25" s="8" t="s">
        <v>38</v>
      </c>
      <c r="Y25" s="11" t="s">
        <v>39</v>
      </c>
      <c r="Z25" s="8" t="s">
        <v>48</v>
      </c>
      <c r="AA25" s="11" t="s">
        <v>49</v>
      </c>
      <c r="AB25" s="12">
        <f t="shared" si="1"/>
        <v>1.4737213</v>
      </c>
      <c r="AC25"/>
      <c r="AD25"/>
      <c r="AE25"/>
      <c r="AF25"/>
      <c r="AG25"/>
    </row>
    <row r="26" spans="1:33" s="4" customFormat="1" x14ac:dyDescent="0.35">
      <c r="A26" s="5">
        <v>2924</v>
      </c>
      <c r="B26" s="6" t="s">
        <v>117</v>
      </c>
      <c r="C26" s="7">
        <v>43714</v>
      </c>
      <c r="D26" s="8">
        <v>82</v>
      </c>
      <c r="E26" s="9" t="s">
        <v>52</v>
      </c>
      <c r="F26" s="8" t="s">
        <v>123</v>
      </c>
      <c r="G26" s="11" t="s">
        <v>124</v>
      </c>
      <c r="H26" s="8" t="str">
        <f>"000330"</f>
        <v>000330</v>
      </c>
      <c r="I26" s="7">
        <v>42801</v>
      </c>
      <c r="J26" s="8" t="str">
        <f>"000102"</f>
        <v>000102</v>
      </c>
      <c r="K26" s="7">
        <v>43188</v>
      </c>
      <c r="L26" s="8" t="str">
        <f>"000281"</f>
        <v>000281</v>
      </c>
      <c r="M26" s="7">
        <v>43188</v>
      </c>
      <c r="N26" s="8">
        <v>17</v>
      </c>
      <c r="O26" s="8" t="str">
        <f>"004871"</f>
        <v>004871</v>
      </c>
      <c r="P26" s="7">
        <v>43707</v>
      </c>
      <c r="Q26" s="12">
        <v>14.53969</v>
      </c>
      <c r="R26" s="12">
        <v>1.14137</v>
      </c>
      <c r="S26" s="12">
        <v>13.39832</v>
      </c>
      <c r="T26" s="8">
        <v>175</v>
      </c>
      <c r="U26" s="7">
        <v>43714</v>
      </c>
      <c r="V26" s="8">
        <v>9480828222</v>
      </c>
      <c r="W26" s="11" t="s">
        <v>125</v>
      </c>
      <c r="X26" s="8" t="s">
        <v>50</v>
      </c>
      <c r="Y26" s="11" t="s">
        <v>108</v>
      </c>
      <c r="Z26" s="8" t="s">
        <v>48</v>
      </c>
      <c r="AA26" s="11" t="s">
        <v>49</v>
      </c>
      <c r="AB26" s="12">
        <f t="shared" si="1"/>
        <v>0.1453969</v>
      </c>
      <c r="AC26"/>
      <c r="AD26"/>
      <c r="AE26"/>
      <c r="AF26"/>
      <c r="AG26"/>
    </row>
    <row r="27" spans="1:33" s="4" customFormat="1" x14ac:dyDescent="0.35">
      <c r="A27" s="5">
        <v>2925</v>
      </c>
      <c r="B27" s="6" t="s">
        <v>117</v>
      </c>
      <c r="C27" s="7">
        <v>43714</v>
      </c>
      <c r="D27" s="8">
        <v>82</v>
      </c>
      <c r="E27" s="9" t="s">
        <v>52</v>
      </c>
      <c r="F27" s="8" t="s">
        <v>126</v>
      </c>
      <c r="G27" s="11" t="s">
        <v>127</v>
      </c>
      <c r="H27" s="8" t="str">
        <f>"000186"</f>
        <v>000186</v>
      </c>
      <c r="I27" s="7">
        <v>43190</v>
      </c>
      <c r="J27" s="8" t="str">
        <f>"000106"</f>
        <v>000106</v>
      </c>
      <c r="K27" s="7">
        <v>43190</v>
      </c>
      <c r="L27" s="8" t="str">
        <f>"000288"</f>
        <v>000288</v>
      </c>
      <c r="M27" s="7">
        <v>43190</v>
      </c>
      <c r="N27" s="8">
        <v>17</v>
      </c>
      <c r="O27" s="8" t="str">
        <f>"004876"</f>
        <v>004876</v>
      </c>
      <c r="P27" s="7">
        <v>43707</v>
      </c>
      <c r="Q27" s="12">
        <v>51.905209999999997</v>
      </c>
      <c r="R27" s="12">
        <v>4.5890700000000004</v>
      </c>
      <c r="S27" s="12">
        <v>47.316139999999997</v>
      </c>
      <c r="T27" s="8">
        <v>175</v>
      </c>
      <c r="U27" s="7">
        <v>43714</v>
      </c>
      <c r="V27" s="8">
        <v>9611508999</v>
      </c>
      <c r="W27" s="11" t="s">
        <v>128</v>
      </c>
      <c r="X27" s="8" t="s">
        <v>129</v>
      </c>
      <c r="Y27" s="11" t="s">
        <v>130</v>
      </c>
      <c r="Z27" s="8" t="s">
        <v>48</v>
      </c>
      <c r="AA27" s="11" t="s">
        <v>49</v>
      </c>
      <c r="AB27" s="12">
        <f t="shared" si="1"/>
        <v>0.51905210000000002</v>
      </c>
      <c r="AC27"/>
      <c r="AD27"/>
      <c r="AE27"/>
      <c r="AF27"/>
      <c r="AG27"/>
    </row>
    <row r="28" spans="1:33" s="4" customFormat="1" x14ac:dyDescent="0.35">
      <c r="A28" s="5">
        <v>2926</v>
      </c>
      <c r="B28" s="6" t="s">
        <v>117</v>
      </c>
      <c r="C28" s="7">
        <v>43738</v>
      </c>
      <c r="D28" s="8">
        <v>82</v>
      </c>
      <c r="E28" s="9" t="s">
        <v>52</v>
      </c>
      <c r="F28" s="8" t="s">
        <v>131</v>
      </c>
      <c r="G28" s="11" t="s">
        <v>132</v>
      </c>
      <c r="H28" s="8" t="str">
        <f>"000067"</f>
        <v>000067</v>
      </c>
      <c r="I28" s="7">
        <v>43640</v>
      </c>
      <c r="J28" s="8" t="str">
        <f>"000059"</f>
        <v>000059</v>
      </c>
      <c r="K28" s="7">
        <v>43688</v>
      </c>
      <c r="L28" s="8" t="str">
        <f>"000099"</f>
        <v>000099</v>
      </c>
      <c r="M28" s="7">
        <v>43688</v>
      </c>
      <c r="N28" s="8">
        <v>18</v>
      </c>
      <c r="O28" s="8" t="str">
        <f>"005369"</f>
        <v>005369</v>
      </c>
      <c r="P28" s="7">
        <v>43729</v>
      </c>
      <c r="Q28" s="12">
        <v>39.997109999999999</v>
      </c>
      <c r="R28" s="12">
        <v>3.7199</v>
      </c>
      <c r="S28" s="12">
        <v>36.277209999999997</v>
      </c>
      <c r="T28" s="8">
        <v>207</v>
      </c>
      <c r="U28" s="7">
        <v>43738</v>
      </c>
      <c r="V28" s="8">
        <v>9886998316</v>
      </c>
      <c r="W28" s="11" t="s">
        <v>63</v>
      </c>
      <c r="X28" s="8" t="s">
        <v>133</v>
      </c>
      <c r="Y28" s="11" t="s">
        <v>134</v>
      </c>
      <c r="Z28" s="8" t="s">
        <v>48</v>
      </c>
      <c r="AA28" s="11" t="s">
        <v>49</v>
      </c>
      <c r="AB28" s="12">
        <f t="shared" si="1"/>
        <v>0.39997109999999997</v>
      </c>
      <c r="AC28"/>
      <c r="AD28"/>
      <c r="AE28"/>
      <c r="AF28"/>
      <c r="AG28"/>
    </row>
    <row r="29" spans="1:33" s="4" customFormat="1" ht="13" x14ac:dyDescent="0.3">
      <c r="A29" s="5">
        <v>2927</v>
      </c>
      <c r="B29" s="6" t="s">
        <v>135</v>
      </c>
      <c r="C29" s="7">
        <v>43748</v>
      </c>
      <c r="D29" s="5">
        <v>82</v>
      </c>
      <c r="E29" s="9" t="s">
        <v>52</v>
      </c>
      <c r="F29" s="8" t="s">
        <v>53</v>
      </c>
      <c r="G29" s="9" t="s">
        <v>54</v>
      </c>
      <c r="H29" s="8" t="str">
        <f>"000015"</f>
        <v>000015</v>
      </c>
      <c r="I29" s="7">
        <v>42625</v>
      </c>
      <c r="J29" s="8" t="str">
        <f>"000118"</f>
        <v>000118</v>
      </c>
      <c r="K29" s="7">
        <v>42758</v>
      </c>
      <c r="L29" s="8" t="str">
        <f>"000067"</f>
        <v>000067</v>
      </c>
      <c r="M29" s="7">
        <v>42758</v>
      </c>
      <c r="N29" s="8">
        <v>16</v>
      </c>
      <c r="O29" s="8" t="str">
        <f>"006001"</f>
        <v>006001</v>
      </c>
      <c r="P29" s="7">
        <v>42998</v>
      </c>
      <c r="Q29" s="10">
        <v>7.8003</v>
      </c>
      <c r="R29" s="10">
        <v>0.99846999999999997</v>
      </c>
      <c r="S29" s="10">
        <v>6.8018299999999998</v>
      </c>
      <c r="T29" s="8">
        <v>13</v>
      </c>
      <c r="U29" s="7">
        <v>43748</v>
      </c>
      <c r="V29" s="8">
        <v>9845046438</v>
      </c>
      <c r="W29" s="9" t="s">
        <v>136</v>
      </c>
      <c r="X29" s="8" t="s">
        <v>29</v>
      </c>
      <c r="Y29" s="9" t="s">
        <v>30</v>
      </c>
      <c r="Z29" s="8" t="s">
        <v>44</v>
      </c>
      <c r="AA29" s="9" t="s">
        <v>45</v>
      </c>
      <c r="AB29" s="10">
        <v>7.8003000000000003E-2</v>
      </c>
    </row>
    <row r="30" spans="1:33" s="4" customFormat="1" ht="13" x14ac:dyDescent="0.3">
      <c r="A30" s="5">
        <v>2928</v>
      </c>
      <c r="B30" s="6" t="s">
        <v>135</v>
      </c>
      <c r="C30" s="7">
        <v>43749</v>
      </c>
      <c r="D30" s="5">
        <v>82</v>
      </c>
      <c r="E30" s="9" t="s">
        <v>52</v>
      </c>
      <c r="F30" s="8" t="s">
        <v>90</v>
      </c>
      <c r="G30" s="9" t="s">
        <v>91</v>
      </c>
      <c r="H30" s="8" t="str">
        <f>"000342"</f>
        <v>000342</v>
      </c>
      <c r="I30" s="7">
        <v>43534</v>
      </c>
      <c r="J30" s="8" t="str">
        <f>"000060"</f>
        <v>000060</v>
      </c>
      <c r="K30" s="7">
        <v>43694</v>
      </c>
      <c r="L30" s="8" t="str">
        <f>"000102"</f>
        <v>000102</v>
      </c>
      <c r="M30" s="7">
        <v>43694</v>
      </c>
      <c r="N30" s="8">
        <v>19</v>
      </c>
      <c r="O30" s="8" t="str">
        <f>"004754"</f>
        <v>004754</v>
      </c>
      <c r="P30" s="7">
        <v>43700</v>
      </c>
      <c r="Q30" s="10">
        <v>68.811260000000004</v>
      </c>
      <c r="R30" s="10">
        <v>3.7114099999999999</v>
      </c>
      <c r="S30" s="10">
        <v>65.099850000000004</v>
      </c>
      <c r="T30" s="8">
        <v>13</v>
      </c>
      <c r="U30" s="7">
        <v>43749</v>
      </c>
      <c r="V30" s="8">
        <v>9008000879</v>
      </c>
      <c r="W30" s="9" t="s">
        <v>92</v>
      </c>
      <c r="X30" s="8" t="s">
        <v>93</v>
      </c>
      <c r="Y30" s="9" t="s">
        <v>94</v>
      </c>
      <c r="Z30" s="8" t="s">
        <v>48</v>
      </c>
      <c r="AA30" s="9" t="s">
        <v>49</v>
      </c>
      <c r="AB30" s="10">
        <v>0.68811260000000007</v>
      </c>
    </row>
    <row r="31" spans="1:33" s="4" customFormat="1" ht="13" x14ac:dyDescent="0.3">
      <c r="A31" s="5">
        <v>2929</v>
      </c>
      <c r="B31" s="6" t="s">
        <v>135</v>
      </c>
      <c r="C31" s="7">
        <v>43757</v>
      </c>
      <c r="D31" s="5">
        <v>82</v>
      </c>
      <c r="E31" s="9" t="s">
        <v>52</v>
      </c>
      <c r="F31" s="8" t="s">
        <v>137</v>
      </c>
      <c r="G31" s="9" t="s">
        <v>138</v>
      </c>
      <c r="H31" s="8" t="str">
        <f>"000084"</f>
        <v>000084</v>
      </c>
      <c r="I31" s="7">
        <v>42411</v>
      </c>
      <c r="J31" s="8" t="str">
        <f>"000139"</f>
        <v>000139</v>
      </c>
      <c r="K31" s="7">
        <v>42489</v>
      </c>
      <c r="L31" s="8" t="str">
        <f>"000012"</f>
        <v>000012</v>
      </c>
      <c r="M31" s="7">
        <v>42489</v>
      </c>
      <c r="N31" s="8">
        <v>15</v>
      </c>
      <c r="O31" s="8" t="str">
        <f>"006764"</f>
        <v>006764</v>
      </c>
      <c r="P31" s="7">
        <v>43021</v>
      </c>
      <c r="Q31" s="10">
        <v>10.460369999999999</v>
      </c>
      <c r="R31" s="10">
        <v>1.1747799999999999</v>
      </c>
      <c r="S31" s="10">
        <v>9.2855899999999991</v>
      </c>
      <c r="T31" s="8">
        <v>13</v>
      </c>
      <c r="U31" s="7">
        <v>43757</v>
      </c>
      <c r="V31" s="8">
        <v>9480828222</v>
      </c>
      <c r="W31" s="9" t="s">
        <v>139</v>
      </c>
      <c r="X31" s="8" t="s">
        <v>32</v>
      </c>
      <c r="Y31" s="9" t="s">
        <v>33</v>
      </c>
      <c r="Z31" s="8" t="s">
        <v>48</v>
      </c>
      <c r="AA31" s="9" t="s">
        <v>49</v>
      </c>
      <c r="AB31" s="10">
        <v>0.10460369999999999</v>
      </c>
    </row>
    <row r="32" spans="1:33" s="4" customFormat="1" ht="13" x14ac:dyDescent="0.3">
      <c r="A32" s="5">
        <v>2930</v>
      </c>
      <c r="B32" s="6" t="s">
        <v>135</v>
      </c>
      <c r="C32" s="7">
        <v>43761</v>
      </c>
      <c r="D32" s="5">
        <v>82</v>
      </c>
      <c r="E32" s="9" t="s">
        <v>52</v>
      </c>
      <c r="F32" s="8" t="s">
        <v>140</v>
      </c>
      <c r="G32" s="9" t="s">
        <v>141</v>
      </c>
      <c r="H32" s="8" t="str">
        <f>"000208"</f>
        <v>000208</v>
      </c>
      <c r="I32" s="7">
        <v>43463</v>
      </c>
      <c r="J32" s="8" t="str">
        <f>"000058"</f>
        <v>000058</v>
      </c>
      <c r="K32" s="7">
        <v>43688</v>
      </c>
      <c r="L32" s="8" t="str">
        <f>"000098"</f>
        <v>000098</v>
      </c>
      <c r="M32" s="7">
        <v>43688</v>
      </c>
      <c r="N32" s="8">
        <v>17</v>
      </c>
      <c r="O32" s="8" t="str">
        <f>"005821"</f>
        <v>005821</v>
      </c>
      <c r="P32" s="7">
        <v>43755</v>
      </c>
      <c r="Q32" s="10">
        <v>11.983470000000001</v>
      </c>
      <c r="R32" s="10">
        <v>0.99544999999999995</v>
      </c>
      <c r="S32" s="10">
        <v>10.988020000000001</v>
      </c>
      <c r="T32" s="8">
        <v>13</v>
      </c>
      <c r="U32" s="7">
        <v>43761</v>
      </c>
      <c r="V32" s="8">
        <v>9480828222</v>
      </c>
      <c r="W32" s="9" t="s">
        <v>37</v>
      </c>
      <c r="X32" s="8" t="s">
        <v>142</v>
      </c>
      <c r="Y32" s="9" t="s">
        <v>143</v>
      </c>
      <c r="Z32" s="8" t="s">
        <v>48</v>
      </c>
      <c r="AA32" s="9" t="s">
        <v>49</v>
      </c>
      <c r="AB32" s="10">
        <v>0.1198347</v>
      </c>
    </row>
    <row r="33" spans="1:33" s="4" customFormat="1" ht="13" x14ac:dyDescent="0.3">
      <c r="A33" s="5">
        <v>2931</v>
      </c>
      <c r="B33" s="6" t="s">
        <v>135</v>
      </c>
      <c r="C33" s="7">
        <v>43768</v>
      </c>
      <c r="D33" s="5">
        <v>82</v>
      </c>
      <c r="E33" s="9" t="s">
        <v>52</v>
      </c>
      <c r="F33" s="8" t="s">
        <v>144</v>
      </c>
      <c r="G33" s="9" t="s">
        <v>145</v>
      </c>
      <c r="H33" s="8" t="str">
        <f>"000427"</f>
        <v>000427</v>
      </c>
      <c r="I33" s="7">
        <v>43759</v>
      </c>
      <c r="J33" s="8" t="str">
        <f>"000094"</f>
        <v>000094</v>
      </c>
      <c r="K33" s="7">
        <v>43759</v>
      </c>
      <c r="L33" s="8" t="str">
        <f>"000183"</f>
        <v>000183</v>
      </c>
      <c r="M33" s="7">
        <v>43759</v>
      </c>
      <c r="N33" s="8">
        <v>19</v>
      </c>
      <c r="O33" s="8" t="str">
        <f>"005999"</f>
        <v>005999</v>
      </c>
      <c r="P33" s="7">
        <v>43763</v>
      </c>
      <c r="Q33" s="10">
        <v>5.44367</v>
      </c>
      <c r="R33" s="10">
        <v>0.53937000000000002</v>
      </c>
      <c r="S33" s="10">
        <v>4.9043000000000001</v>
      </c>
      <c r="T33" s="8">
        <v>13</v>
      </c>
      <c r="U33" s="7">
        <v>43768</v>
      </c>
      <c r="V33" s="8">
        <v>9611508999</v>
      </c>
      <c r="W33" s="9" t="s">
        <v>146</v>
      </c>
      <c r="X33" s="8" t="s">
        <v>147</v>
      </c>
      <c r="Y33" s="9" t="s">
        <v>148</v>
      </c>
      <c r="Z33" s="8" t="s">
        <v>48</v>
      </c>
      <c r="AA33" s="9" t="s">
        <v>49</v>
      </c>
      <c r="AB33" s="10">
        <v>5.4436699999999998E-2</v>
      </c>
    </row>
    <row r="34" spans="1:33" s="4" customFormat="1" ht="13" x14ac:dyDescent="0.3">
      <c r="A34" s="5">
        <v>2932</v>
      </c>
      <c r="B34" s="6" t="s">
        <v>135</v>
      </c>
      <c r="C34" s="7">
        <v>43768</v>
      </c>
      <c r="D34" s="5">
        <v>82</v>
      </c>
      <c r="E34" s="9" t="s">
        <v>52</v>
      </c>
      <c r="F34" s="8" t="s">
        <v>149</v>
      </c>
      <c r="G34" s="9" t="s">
        <v>150</v>
      </c>
      <c r="H34" s="8" t="str">
        <f>"000418"</f>
        <v>000418</v>
      </c>
      <c r="I34" s="7">
        <v>43736</v>
      </c>
      <c r="J34" s="8" t="str">
        <f>"000086"</f>
        <v>000086</v>
      </c>
      <c r="K34" s="7">
        <v>43737</v>
      </c>
      <c r="L34" s="8" t="str">
        <f>"000165"</f>
        <v>000165</v>
      </c>
      <c r="M34" s="7">
        <v>43738</v>
      </c>
      <c r="N34" s="8">
        <v>19</v>
      </c>
      <c r="O34" s="8" t="str">
        <f>"006001"</f>
        <v>006001</v>
      </c>
      <c r="P34" s="7">
        <v>43763</v>
      </c>
      <c r="Q34" s="10">
        <v>54.43497</v>
      </c>
      <c r="R34" s="10">
        <v>5.8716200000000001</v>
      </c>
      <c r="S34" s="10">
        <v>48.56335</v>
      </c>
      <c r="T34" s="8">
        <v>13</v>
      </c>
      <c r="U34" s="7">
        <v>43768</v>
      </c>
      <c r="V34" s="8">
        <v>9611508999</v>
      </c>
      <c r="W34" s="9" t="s">
        <v>146</v>
      </c>
      <c r="X34" s="8" t="s">
        <v>151</v>
      </c>
      <c r="Y34" s="9" t="s">
        <v>152</v>
      </c>
      <c r="Z34" s="8" t="s">
        <v>48</v>
      </c>
      <c r="AA34" s="9" t="s">
        <v>49</v>
      </c>
      <c r="AB34" s="10">
        <v>0.54434970000000005</v>
      </c>
    </row>
    <row r="35" spans="1:33" s="4" customFormat="1" ht="13" x14ac:dyDescent="0.3">
      <c r="A35" s="5">
        <v>2933</v>
      </c>
      <c r="B35" s="6" t="s">
        <v>153</v>
      </c>
      <c r="C35" s="7">
        <v>43775</v>
      </c>
      <c r="D35" s="5">
        <v>82</v>
      </c>
      <c r="E35" s="9" t="s">
        <v>52</v>
      </c>
      <c r="F35" s="8" t="s">
        <v>154</v>
      </c>
      <c r="G35" s="9" t="s">
        <v>155</v>
      </c>
      <c r="H35" s="8" t="str">
        <f>"000053"</f>
        <v>000053</v>
      </c>
      <c r="I35" s="7">
        <v>42976</v>
      </c>
      <c r="J35" s="8" t="str">
        <f>"000083"</f>
        <v>000083</v>
      </c>
      <c r="K35" s="7">
        <v>43434</v>
      </c>
      <c r="L35" s="8" t="str">
        <f>"000198"</f>
        <v>000198</v>
      </c>
      <c r="M35" s="7">
        <v>43434</v>
      </c>
      <c r="N35" s="8">
        <v>17</v>
      </c>
      <c r="O35" s="8" t="str">
        <f>"006082"</f>
        <v>006082</v>
      </c>
      <c r="P35" s="7">
        <v>43775</v>
      </c>
      <c r="Q35" s="10">
        <v>51.884950000000003</v>
      </c>
      <c r="R35" s="10">
        <v>5.5752499999999996</v>
      </c>
      <c r="S35" s="10">
        <v>46.309699999999999</v>
      </c>
      <c r="T35" s="8">
        <v>13</v>
      </c>
      <c r="U35" s="7">
        <v>43775</v>
      </c>
      <c r="V35" s="8">
        <v>9611508999</v>
      </c>
      <c r="W35" s="9" t="s">
        <v>156</v>
      </c>
      <c r="X35" s="8" t="s">
        <v>129</v>
      </c>
      <c r="Y35" s="9" t="s">
        <v>130</v>
      </c>
      <c r="Z35" s="8" t="s">
        <v>48</v>
      </c>
      <c r="AA35" s="9" t="s">
        <v>49</v>
      </c>
      <c r="AB35" s="10">
        <v>0.51884950000000007</v>
      </c>
    </row>
    <row r="36" spans="1:33" s="4" customFormat="1" ht="13" x14ac:dyDescent="0.3">
      <c r="A36" s="5">
        <v>2934</v>
      </c>
      <c r="B36" s="6" t="s">
        <v>153</v>
      </c>
      <c r="C36" s="7">
        <v>43775</v>
      </c>
      <c r="D36" s="5">
        <v>82</v>
      </c>
      <c r="E36" s="9" t="s">
        <v>52</v>
      </c>
      <c r="F36" s="8" t="s">
        <v>157</v>
      </c>
      <c r="G36" s="9" t="s">
        <v>158</v>
      </c>
      <c r="H36" s="8" t="str">
        <f>"000187"</f>
        <v>000187</v>
      </c>
      <c r="I36" s="7">
        <v>43433</v>
      </c>
      <c r="J36" s="8" t="str">
        <f>"000084"</f>
        <v>000084</v>
      </c>
      <c r="K36" s="7">
        <v>43434</v>
      </c>
      <c r="L36" s="8" t="str">
        <f>"000199"</f>
        <v>000199</v>
      </c>
      <c r="M36" s="7">
        <v>43434</v>
      </c>
      <c r="N36" s="8">
        <v>18</v>
      </c>
      <c r="O36" s="8" t="str">
        <f>"006085"</f>
        <v>006085</v>
      </c>
      <c r="P36" s="7">
        <v>43775</v>
      </c>
      <c r="Q36" s="10">
        <v>51.595460000000003</v>
      </c>
      <c r="R36" s="10">
        <v>5.5483500000000001</v>
      </c>
      <c r="S36" s="10">
        <v>46.047110000000004</v>
      </c>
      <c r="T36" s="8">
        <v>13</v>
      </c>
      <c r="U36" s="7">
        <v>43775</v>
      </c>
      <c r="V36" s="8">
        <v>9611508999</v>
      </c>
      <c r="W36" s="9" t="s">
        <v>128</v>
      </c>
      <c r="X36" s="8" t="s">
        <v>159</v>
      </c>
      <c r="Y36" s="9" t="s">
        <v>160</v>
      </c>
      <c r="Z36" s="8" t="s">
        <v>48</v>
      </c>
      <c r="AA36" s="9" t="s">
        <v>49</v>
      </c>
      <c r="AB36" s="10">
        <v>0.51595460000000004</v>
      </c>
    </row>
    <row r="37" spans="1:33" s="4" customFormat="1" ht="13" x14ac:dyDescent="0.3">
      <c r="A37" s="5">
        <v>2935</v>
      </c>
      <c r="B37" s="6" t="s">
        <v>161</v>
      </c>
      <c r="C37" s="7">
        <v>43801</v>
      </c>
      <c r="D37" s="5">
        <v>82</v>
      </c>
      <c r="E37" s="9" t="s">
        <v>52</v>
      </c>
      <c r="F37" s="8" t="s">
        <v>162</v>
      </c>
      <c r="G37" s="9" t="s">
        <v>163</v>
      </c>
      <c r="H37" s="8" t="str">
        <f>"000263"</f>
        <v>000263</v>
      </c>
      <c r="I37" s="7">
        <v>43506</v>
      </c>
      <c r="J37" s="8" t="str">
        <f>"000071"</f>
        <v>000071</v>
      </c>
      <c r="K37" s="7">
        <v>43714</v>
      </c>
      <c r="L37" s="8" t="str">
        <f>"000148"</f>
        <v>000148</v>
      </c>
      <c r="M37" s="7">
        <v>43727</v>
      </c>
      <c r="N37" s="8">
        <v>18</v>
      </c>
      <c r="O37" s="8" t="str">
        <f>"006396"</f>
        <v>006396</v>
      </c>
      <c r="P37" s="7">
        <v>43794</v>
      </c>
      <c r="Q37" s="10">
        <v>4.6644399999999999</v>
      </c>
      <c r="R37" s="10">
        <v>0.50407000000000002</v>
      </c>
      <c r="S37" s="10">
        <v>4.1603700000000003</v>
      </c>
      <c r="T37" s="8">
        <v>13</v>
      </c>
      <c r="U37" s="7">
        <v>43801</v>
      </c>
      <c r="V37" s="8">
        <v>9902410446</v>
      </c>
      <c r="W37" s="9" t="s">
        <v>164</v>
      </c>
      <c r="X37" s="8" t="s">
        <v>165</v>
      </c>
      <c r="Y37" s="9" t="s">
        <v>166</v>
      </c>
      <c r="Z37" s="8" t="s">
        <v>48</v>
      </c>
      <c r="AA37" s="9" t="s">
        <v>49</v>
      </c>
      <c r="AB37" s="10">
        <v>4.6644400000000003E-2</v>
      </c>
    </row>
    <row r="38" spans="1:33" x14ac:dyDescent="0.35">
      <c r="A38" s="5">
        <v>2936</v>
      </c>
      <c r="B38" s="6" t="s">
        <v>161</v>
      </c>
      <c r="C38" s="7">
        <v>43806</v>
      </c>
      <c r="D38" s="5">
        <v>82</v>
      </c>
      <c r="E38" s="9" t="s">
        <v>52</v>
      </c>
      <c r="F38" s="8" t="s">
        <v>167</v>
      </c>
      <c r="G38" s="9" t="s">
        <v>168</v>
      </c>
      <c r="H38" s="8" t="str">
        <f>"000448"</f>
        <v>000448</v>
      </c>
      <c r="I38" s="7">
        <v>43780</v>
      </c>
      <c r="J38" s="8" t="str">
        <f>"000100"</f>
        <v>000100</v>
      </c>
      <c r="K38" s="7">
        <v>43780</v>
      </c>
      <c r="L38" s="8" t="str">
        <f>"000197"</f>
        <v>000197</v>
      </c>
      <c r="M38" s="7">
        <v>43780</v>
      </c>
      <c r="N38" s="8">
        <v>19</v>
      </c>
      <c r="O38" s="8" t="str">
        <f>"006549"</f>
        <v>006549</v>
      </c>
      <c r="P38" s="7">
        <v>43802</v>
      </c>
      <c r="Q38" s="10">
        <v>53.565840000000001</v>
      </c>
      <c r="R38" s="10">
        <v>4.8134800000000002</v>
      </c>
      <c r="S38" s="10">
        <v>48.752360000000003</v>
      </c>
      <c r="T38" s="8">
        <v>13</v>
      </c>
      <c r="U38" s="7">
        <v>43806</v>
      </c>
      <c r="V38" s="8">
        <v>8660414151</v>
      </c>
      <c r="W38" s="9" t="s">
        <v>169</v>
      </c>
      <c r="X38" s="8" t="s">
        <v>42</v>
      </c>
      <c r="Y38" s="9" t="s">
        <v>43</v>
      </c>
      <c r="Z38" s="8" t="s">
        <v>48</v>
      </c>
      <c r="AA38" s="9" t="s">
        <v>49</v>
      </c>
      <c r="AB38" s="10">
        <v>0.53565839999999998</v>
      </c>
      <c r="AC38" s="4"/>
      <c r="AD38" s="4"/>
      <c r="AE38" s="4"/>
      <c r="AF38" s="4"/>
      <c r="AG38" s="4"/>
    </row>
    <row r="39" spans="1:33" x14ac:dyDescent="0.35">
      <c r="A39" s="5">
        <v>2937</v>
      </c>
      <c r="B39" s="6" t="s">
        <v>161</v>
      </c>
      <c r="C39" s="7">
        <v>43816</v>
      </c>
      <c r="D39" s="5">
        <v>82</v>
      </c>
      <c r="E39" s="9" t="s">
        <v>52</v>
      </c>
      <c r="F39" s="8" t="s">
        <v>170</v>
      </c>
      <c r="G39" s="9" t="s">
        <v>171</v>
      </c>
      <c r="H39" s="8" t="str">
        <f>"000041"</f>
        <v>000041</v>
      </c>
      <c r="I39" s="7">
        <v>43616</v>
      </c>
      <c r="J39" s="8" t="str">
        <f>"000019"</f>
        <v>000019</v>
      </c>
      <c r="K39" s="7">
        <v>43616</v>
      </c>
      <c r="L39" s="8" t="str">
        <f>"000030"</f>
        <v>000030</v>
      </c>
      <c r="M39" s="7">
        <v>43616</v>
      </c>
      <c r="N39" s="8">
        <v>18</v>
      </c>
      <c r="O39" s="8" t="str">
        <f>"006855"</f>
        <v>006855</v>
      </c>
      <c r="P39" s="7">
        <v>43815</v>
      </c>
      <c r="Q39" s="10">
        <v>50.455179999999999</v>
      </c>
      <c r="R39" s="10">
        <v>5.3642099999999999</v>
      </c>
      <c r="S39" s="10">
        <v>45.090969999999999</v>
      </c>
      <c r="T39" s="8">
        <v>13</v>
      </c>
      <c r="U39" s="7">
        <v>43816</v>
      </c>
      <c r="V39" s="8">
        <v>9611508999</v>
      </c>
      <c r="W39" s="9" t="s">
        <v>146</v>
      </c>
      <c r="X39" s="8" t="s">
        <v>159</v>
      </c>
      <c r="Y39" s="9" t="s">
        <v>160</v>
      </c>
      <c r="Z39" s="8" t="s">
        <v>48</v>
      </c>
      <c r="AA39" s="9" t="s">
        <v>49</v>
      </c>
      <c r="AB39" s="10">
        <v>0.50455179999999999</v>
      </c>
      <c r="AC39" s="4"/>
      <c r="AD39" s="4"/>
      <c r="AE39" s="4"/>
      <c r="AF39" s="4"/>
      <c r="AG39" s="4"/>
    </row>
    <row r="40" spans="1:33" x14ac:dyDescent="0.35">
      <c r="A40" s="5">
        <v>2938</v>
      </c>
      <c r="B40" s="6" t="s">
        <v>161</v>
      </c>
      <c r="C40" s="7">
        <v>43818</v>
      </c>
      <c r="D40" s="5">
        <v>82</v>
      </c>
      <c r="E40" s="9" t="s">
        <v>52</v>
      </c>
      <c r="F40" s="8" t="s">
        <v>172</v>
      </c>
      <c r="G40" s="9" t="s">
        <v>173</v>
      </c>
      <c r="H40" s="8" t="str">
        <f>"000004"</f>
        <v>000004</v>
      </c>
      <c r="I40" s="7">
        <v>43521</v>
      </c>
      <c r="J40" s="8" t="str">
        <f>"000033"</f>
        <v>000033</v>
      </c>
      <c r="K40" s="7">
        <v>43790</v>
      </c>
      <c r="L40" s="8" t="str">
        <f>"000129"</f>
        <v>000129</v>
      </c>
      <c r="M40" s="7">
        <v>43791</v>
      </c>
      <c r="N40" s="8">
        <v>18</v>
      </c>
      <c r="O40" s="8" t="str">
        <f>"006836"</f>
        <v>006836</v>
      </c>
      <c r="P40" s="7">
        <v>43815</v>
      </c>
      <c r="Q40" s="10">
        <v>25.241209999999999</v>
      </c>
      <c r="R40" s="10">
        <v>2.6677399999999998</v>
      </c>
      <c r="S40" s="10">
        <v>22.57347</v>
      </c>
      <c r="T40" s="8">
        <v>13</v>
      </c>
      <c r="U40" s="7">
        <v>43818</v>
      </c>
      <c r="V40" s="8">
        <v>9480828222</v>
      </c>
      <c r="W40" s="9" t="s">
        <v>174</v>
      </c>
      <c r="X40" s="8" t="s">
        <v>175</v>
      </c>
      <c r="Y40" s="9" t="s">
        <v>176</v>
      </c>
      <c r="Z40" s="8" t="s">
        <v>177</v>
      </c>
      <c r="AA40" s="9" t="s">
        <v>178</v>
      </c>
      <c r="AB40" s="10">
        <v>0.25241209999999997</v>
      </c>
      <c r="AC40" s="4"/>
      <c r="AD40" s="4"/>
      <c r="AE40" s="4"/>
      <c r="AF40" s="4"/>
      <c r="AG40" s="4"/>
    </row>
    <row r="41" spans="1:33" x14ac:dyDescent="0.35">
      <c r="A41" s="5">
        <v>2939</v>
      </c>
      <c r="B41" s="6" t="s">
        <v>161</v>
      </c>
      <c r="C41" s="7">
        <v>43818</v>
      </c>
      <c r="D41" s="5">
        <v>82</v>
      </c>
      <c r="E41" s="9" t="s">
        <v>52</v>
      </c>
      <c r="F41" s="8" t="s">
        <v>179</v>
      </c>
      <c r="G41" s="9" t="s">
        <v>180</v>
      </c>
      <c r="H41" s="8" t="str">
        <f>"000482"</f>
        <v>000482</v>
      </c>
      <c r="I41" s="7">
        <v>43798</v>
      </c>
      <c r="J41" s="8" t="str">
        <f>"000106"</f>
        <v>000106</v>
      </c>
      <c r="K41" s="7">
        <v>43798</v>
      </c>
      <c r="L41" s="8" t="str">
        <f>"000210"</f>
        <v>000210</v>
      </c>
      <c r="M41" s="7">
        <v>43798</v>
      </c>
      <c r="N41" s="8">
        <v>19</v>
      </c>
      <c r="O41" s="8" t="str">
        <f>"006863"</f>
        <v>006863</v>
      </c>
      <c r="P41" s="7">
        <v>43816</v>
      </c>
      <c r="Q41" s="10">
        <v>21.432600000000001</v>
      </c>
      <c r="R41" s="10">
        <v>1.92622</v>
      </c>
      <c r="S41" s="10">
        <v>19.50638</v>
      </c>
      <c r="T41" s="8">
        <v>13</v>
      </c>
      <c r="U41" s="7">
        <v>43818</v>
      </c>
      <c r="V41" s="8">
        <v>9845194409</v>
      </c>
      <c r="W41" s="9" t="s">
        <v>181</v>
      </c>
      <c r="X41" s="8" t="s">
        <v>42</v>
      </c>
      <c r="Y41" s="9" t="s">
        <v>43</v>
      </c>
      <c r="Z41" s="8" t="s">
        <v>48</v>
      </c>
      <c r="AA41" s="9" t="s">
        <v>49</v>
      </c>
      <c r="AB41" s="10">
        <v>0.21432600000000002</v>
      </c>
      <c r="AC41" s="4"/>
      <c r="AD41" s="4"/>
      <c r="AE41" s="4"/>
      <c r="AF41" s="4"/>
      <c r="AG41" s="4"/>
    </row>
    <row r="42" spans="1:33" x14ac:dyDescent="0.35">
      <c r="A42" s="5">
        <v>2940</v>
      </c>
      <c r="B42" s="6" t="s">
        <v>161</v>
      </c>
      <c r="C42" s="7">
        <v>43823</v>
      </c>
      <c r="D42" s="5">
        <v>82</v>
      </c>
      <c r="E42" s="9" t="s">
        <v>52</v>
      </c>
      <c r="F42" s="8" t="s">
        <v>182</v>
      </c>
      <c r="G42" s="9" t="s">
        <v>183</v>
      </c>
      <c r="H42" s="8" t="str">
        <f>"000"</f>
        <v>000</v>
      </c>
      <c r="I42" s="7">
        <v>85</v>
      </c>
      <c r="J42" s="8" t="str">
        <f>"000023"</f>
        <v>000023</v>
      </c>
      <c r="K42" s="7">
        <v>43250</v>
      </c>
      <c r="L42" s="8" t="str">
        <f>"000062"</f>
        <v>000062</v>
      </c>
      <c r="M42" s="7">
        <v>43250</v>
      </c>
      <c r="N42" s="8">
        <v>16</v>
      </c>
      <c r="O42" s="8" t="str">
        <f>"006793"</f>
        <v>006793</v>
      </c>
      <c r="P42" s="7">
        <v>43811</v>
      </c>
      <c r="Q42" s="10">
        <v>39.458350000000003</v>
      </c>
      <c r="R42" s="10">
        <v>4.6942899999999996</v>
      </c>
      <c r="S42" s="10">
        <v>34.764060000000001</v>
      </c>
      <c r="T42" s="8">
        <v>13</v>
      </c>
      <c r="U42" s="7">
        <v>43823</v>
      </c>
      <c r="V42" s="8">
        <v>9480828222</v>
      </c>
      <c r="W42" s="9" t="s">
        <v>37</v>
      </c>
      <c r="X42" s="8" t="s">
        <v>38</v>
      </c>
      <c r="Y42" s="9" t="s">
        <v>39</v>
      </c>
      <c r="Z42" s="8" t="s">
        <v>48</v>
      </c>
      <c r="AA42" s="9" t="s">
        <v>49</v>
      </c>
      <c r="AB42" s="10">
        <v>0.39458350000000003</v>
      </c>
      <c r="AC42" s="4"/>
      <c r="AD42" s="4"/>
      <c r="AE42" s="4"/>
      <c r="AF42" s="4"/>
      <c r="AG4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2020-01-28T12:03:14Z</dcterms:modified>
</cp:coreProperties>
</file>