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2" i="1" l="1"/>
  <c r="L42" i="1"/>
  <c r="J42" i="1"/>
  <c r="H42" i="1"/>
  <c r="O41" i="1"/>
  <c r="L41" i="1"/>
  <c r="J41" i="1"/>
  <c r="H41" i="1"/>
  <c r="O40" i="1"/>
  <c r="L40" i="1"/>
  <c r="J40" i="1"/>
  <c r="H40" i="1"/>
  <c r="O39" i="1"/>
  <c r="L39" i="1"/>
  <c r="J39" i="1"/>
  <c r="H39" i="1"/>
  <c r="O38" i="1"/>
  <c r="L38" i="1"/>
  <c r="J38" i="1"/>
  <c r="H38" i="1"/>
  <c r="O37" i="1"/>
  <c r="L37" i="1"/>
  <c r="J37" i="1"/>
  <c r="H37" i="1"/>
  <c r="O36" i="1"/>
  <c r="L36" i="1"/>
  <c r="J36" i="1"/>
  <c r="H36"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O16" i="1"/>
  <c r="L16" i="1"/>
  <c r="J16" i="1"/>
  <c r="H16" i="1"/>
  <c r="O15" i="1"/>
  <c r="L15" i="1"/>
  <c r="J15" i="1"/>
  <c r="H15" i="1"/>
  <c r="O14" i="1"/>
  <c r="L14" i="1"/>
  <c r="J14" i="1"/>
  <c r="H14" i="1"/>
  <c r="O13" i="1"/>
  <c r="L13" i="1"/>
  <c r="J13" i="1"/>
  <c r="H13"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<sst xmlns="http://schemas.openxmlformats.org/spreadsheetml/2006/main" count="397" uniqueCount="164">
  <si>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</si>
  <si>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</si>
  <si>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</si>
  <si>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</si>
  <si>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</si>
  <si>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</si>
  <si>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</si>
  <si>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</si>
  <si>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</si>
  <si>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</si>
  <si>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</si>
  <si>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</si>
  <si>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</si>
  <si>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</si>
  <si>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</si>
  <si>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</si>
  <si>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</si>
  <si>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</si>
  <si>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</si>
  <si>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</si>
  <si>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</si>
  <si>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</si>
  <si>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</si>
  <si>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</si>
  <si>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</si>
  <si>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</si>
  <si>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</si>
  <si>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</si>
  <si>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</si>
  <si>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</si>
  <si>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</si>
  <si>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</si>
  <si>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</si>
  <si>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</si>
  <si>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</si>
  <si>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KRIDL</t>
  </si>
  <si>
    <t>P0298</t>
  </si>
  <si>
    <t>M and R to Electrical Installations in Parks and Gardens, Playgrounds, Burial Grounds</t>
  </si>
  <si>
    <t>P2434</t>
  </si>
  <si>
    <t>Development works for Bangalore City</t>
  </si>
  <si>
    <t>ddo365</t>
  </si>
  <si>
    <t xml:space="preserve"> Executive Engineer Electrical Mahadevapura Zone</t>
  </si>
  <si>
    <t>Kadugodi</t>
  </si>
  <si>
    <t>083-15-000030</t>
  </si>
  <si>
    <t>MR to Electrical Installation in Parks and Gardens Play grounds Burrial Grounds in Whitefeild Sub division limit Ward No 83 84 149</t>
  </si>
  <si>
    <t xml:space="preserve">M/S Vaishnavi Enterprises </t>
  </si>
  <si>
    <t>083-14-000007</t>
  </si>
  <si>
    <t xml:space="preserve">Improvement of road and drain near Kuber singh house and near Ganesh temple road in Kadugudi at Ward No 83(Kadugudi) </t>
  </si>
  <si>
    <t>RAMAIAH</t>
  </si>
  <si>
    <t>ddo360</t>
  </si>
  <si>
    <t xml:space="preserve"> Assistant Executive Engineer White field Mahadevapura Zone</t>
  </si>
  <si>
    <t>083-16-000001</t>
  </si>
  <si>
    <t>Operation and maintanance of street light fittings in ward no 83 Kadugodi Mahadevapura Zone M05</t>
  </si>
  <si>
    <t>Thirumala Electricals,</t>
  </si>
  <si>
    <t>083-14-000050</t>
  </si>
  <si>
    <t>Desilting of SWD in AKG colony at Kadugudi Ward No.83</t>
  </si>
  <si>
    <t>P2654</t>
  </si>
  <si>
    <t>Special Package for 110 Villages (Rs. 1 Crore Per Village)</t>
  </si>
  <si>
    <t>083-12-000048</t>
  </si>
  <si>
    <t>Improvements of 2nd 3rd and 4th main roads at Ambedkar gutta in Kadugodi ward no 83</t>
  </si>
  <si>
    <t>P NARAYUANASWAMY</t>
  </si>
  <si>
    <t>083-14-000037</t>
  </si>
  <si>
    <t>Widening and Improvement of road from bus stand to Nagondanahalli boundary in Channasandra at Ward no 83 (Kadugudi) SSM Covering)</t>
  </si>
  <si>
    <t>Ms KRIDL</t>
  </si>
  <si>
    <t>083-14-000048</t>
  </si>
  <si>
    <t>Improvements to roads and construction of culvert in White field D silva layout (Holly cross school road)</t>
  </si>
  <si>
    <t>083-17-000002</t>
  </si>
  <si>
    <t>Special Repairs and Improvements to roads, culverts and drains in Kadugudi ward No 83</t>
  </si>
  <si>
    <t>S Ramesh</t>
  </si>
  <si>
    <t>083-17-000016</t>
  </si>
  <si>
    <t>Improvements to roads and drains of Pai Layout 1st cross near Prashanth Layout in Kadugudi ward No.83</t>
  </si>
  <si>
    <t xml:space="preserve"> M Suresh</t>
  </si>
  <si>
    <t>083-17-000008</t>
  </si>
  <si>
    <t>Construction of drains to 3rd cross road of Kadugudi plantation (Dinnur) in Kadugudi ward No.83</t>
  </si>
  <si>
    <t>M Suresh</t>
  </si>
  <si>
    <t>083-12-000049</t>
  </si>
  <si>
    <t>Improvements of 5th and 6th main roads at Ambedkar gutta in Kadugodi ward no 83</t>
  </si>
  <si>
    <t>P NARAYANASWAMY</t>
  </si>
  <si>
    <t>083-17-000007</t>
  </si>
  <si>
    <t>Development of dasara field at Ambedkarnagara in Kadugudi ward No 83</t>
  </si>
  <si>
    <t>A ASHOK REDDY</t>
  </si>
  <si>
    <t>July</t>
  </si>
  <si>
    <t>083-14-000045</t>
  </si>
  <si>
    <t>Construction of SSM drain near Linganna house at AKG colony in Kadugudi Ward no 83</t>
  </si>
  <si>
    <t>M/S KRIDL</t>
  </si>
  <si>
    <t>P0190</t>
  </si>
  <si>
    <t>Works sanctioned by Hon Mayor</t>
  </si>
  <si>
    <t>083-13-000029</t>
  </si>
  <si>
    <t>Fund earmarked for emergency works at Kadugudi ward no 83</t>
  </si>
  <si>
    <t xml:space="preserve">SANTHOSH.D.M, M/S.VINAYAKA CONSTRUCTION </t>
  </si>
  <si>
    <t>083-17-000020</t>
  </si>
  <si>
    <t>Repairs and Maintenance of drinking water supply scheme at Dinnur AKG colony Ramegowdanagara and Channasandra in Ward No. 83 Kadugudi</t>
  </si>
  <si>
    <t xml:space="preserve">THIRUMALA ELECTRICALS, SRI.S.RAMESH </t>
  </si>
  <si>
    <t>P1802</t>
  </si>
  <si>
    <t>Water Supply New Areas</t>
  </si>
  <si>
    <t>083-16-000020</t>
  </si>
  <si>
    <t>Providing and laying covering slab to existing drain at near Kadugudi Post office and Sai Baba Compound Next road in ward no 83</t>
  </si>
  <si>
    <t>G.GOPI</t>
  </si>
  <si>
    <t>P3089</t>
  </si>
  <si>
    <t>Special Development works in 7 CMC and 1 TMC area in BBMP</t>
  </si>
  <si>
    <t>083-16-000026</t>
  </si>
  <si>
    <t>Providing and laying covering slab to existing drain at AKG colony 2nd main road cross road in ward no 83</t>
  </si>
  <si>
    <t>G.Gopi</t>
  </si>
  <si>
    <t>083-18-000006</t>
  </si>
  <si>
    <t>Sinking Drilling of Borewell providing and fixing pump and motor to provide water supply at Channasandra extension and Channasandra Prithvi Layout in ward no 83 (Kadugudi)</t>
  </si>
  <si>
    <t>Thirumala Elictricals, S.Ramesh</t>
  </si>
  <si>
    <t>August</t>
  </si>
  <si>
    <t>083-17-000025</t>
  </si>
  <si>
    <t>Improvements and Asphalting to roads at Pruthvi layout in ward no 83 (Kadugudi)</t>
  </si>
  <si>
    <t>Ramaiah</t>
  </si>
  <si>
    <t>P3173</t>
  </si>
  <si>
    <t>Special Development works in ward No.124, 185, 98, 188, 10, 14, 16, 30, 28, 37, 42, 130, 159, 65, 66, 73, 79, 80, 90, 95, 94, 89, 108, 111, 115, 97, 105, 131, 133, 119, 125, 137, 143, 124, 158, 138, 83, 166, 182, 129, 165, 161, 04, 88, 27, 31, 32, 52, 44, 26, 07, 183, 178, 187 (Rs.100 lakhs per ward)</t>
  </si>
  <si>
    <t>083-17-000023</t>
  </si>
  <si>
    <t>Improvements and asphalting to road from Channasandra Chikkathirupathi road to Border on Right Bank of South Pennar River in ward no 83 (Kadugudi)</t>
  </si>
  <si>
    <t>September</t>
  </si>
  <si>
    <t>083-17-000014</t>
  </si>
  <si>
    <t>Improvements to roads and drains at VSR Layout and Purushotham Singh house road in Kadugudi ward No.83</t>
  </si>
  <si>
    <t>M Venkatachalapathi</t>
  </si>
  <si>
    <t>083-17-000010</t>
  </si>
  <si>
    <t>Improvements to roads and drains at Vijayalakshmi colony cross roads in Kadugudi ward No.83</t>
  </si>
  <si>
    <t>083-17-000018</t>
  </si>
  <si>
    <t>Improvements to roads and drains of Kadugudi Extention near BESCOM office in Kadugudi ward No.83</t>
  </si>
  <si>
    <t>083-17-000015</t>
  </si>
  <si>
    <t>Improvements to roads and drains of Prashanth Layout Main road in Kadugudi ward No.83</t>
  </si>
  <si>
    <t>M S Venkatesh</t>
  </si>
  <si>
    <t>083-17-000022</t>
  </si>
  <si>
    <t>Improvements and asphalting to road from ECC road to Muneshwara temple (Near Pruthvilayout via Holy cross School road) in ward no 83 (Kadugudi)</t>
  </si>
  <si>
    <t>083-17-000003</t>
  </si>
  <si>
    <t>Augmentation of water supply scheme at Hanumanthappa garden and Dinnur in ward No. 83(kadugudi)</t>
  </si>
  <si>
    <t>D.NAVEEN</t>
  </si>
  <si>
    <t>083-17-000006</t>
  </si>
  <si>
    <t>Construction of CC roads at Ambedkarnagara in Kadugudi ward No.83</t>
  </si>
  <si>
    <t>October</t>
  </si>
  <si>
    <t>083-19-000007</t>
  </si>
  <si>
    <t>Maintenance of Cremotorium burrial grounds at ward no 83 Kadugudi</t>
  </si>
  <si>
    <t>HANUMANTHAIAH</t>
  </si>
  <si>
    <t>P3291</t>
  </si>
  <si>
    <t>14th Fin -Maintenance of Cremotorium, Burial Grounds</t>
  </si>
  <si>
    <t>083-19-000014</t>
  </si>
  <si>
    <t>Desilting Storm water drain in ward area at ward no 83 Kadugudi</t>
  </si>
  <si>
    <t>NAGESH.G.K</t>
  </si>
  <si>
    <t>P3297</t>
  </si>
  <si>
    <t>14th Finance Commission Grants - SWD Works</t>
  </si>
  <si>
    <t>083-19-000015</t>
  </si>
  <si>
    <t>Clearance of Back spot and removal of debris at ward no 83 Kadugudi</t>
  </si>
  <si>
    <t>High End Construction</t>
  </si>
  <si>
    <t>P3298</t>
  </si>
  <si>
    <t>14th Finance Commission Works - SWM Works</t>
  </si>
  <si>
    <t>November</t>
  </si>
  <si>
    <t>M Anjinappa</t>
  </si>
  <si>
    <t>December</t>
  </si>
  <si>
    <t>083-18-000007</t>
  </si>
  <si>
    <t>Sinking Drilling of Borewell providing water supplyto in ward no 83 (Kadugudi)</t>
  </si>
  <si>
    <t>THIRUMALA ELECTRICALS S.RAMESH</t>
  </si>
  <si>
    <t>083-19-000013</t>
  </si>
  <si>
    <t>Maintenance and repairs to footpath in ward area at ward no 83 Kadugudi</t>
  </si>
  <si>
    <t>KRISHNAMURTHY.P.A</t>
  </si>
  <si>
    <t>P3296</t>
  </si>
  <si>
    <t>14th Finance Commission Works - Road and Footpath Maintenance</t>
  </si>
  <si>
    <t>083-19-000034</t>
  </si>
  <si>
    <t>Restoration of roadcut portion done by BWSSB for Cavery water supply pipe line Kadugudi plantation Dinnur and surrounding area phase-1 works (under 110 villages area) ward no 83 Kadugudi</t>
  </si>
  <si>
    <t>C R GIRISH RAM AND COMPANY</t>
  </si>
  <si>
    <t>P0613</t>
  </si>
  <si>
    <t>Redoing of Road cut Portions (Deposit Contributions)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</si>
</sst>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tabSelected="1" workbookViewId="0">
      <selection activeCell="A2" sqref="A2:XFD42"/>
    </sheetView>
  </sheetViews>
  <sheetFormatPr defaultRowHeight="14.5" x14ac:dyDescent="0.35"/>
  <cols>
    <col min="1" max="1" width="5" bestFit="1" customWidth="1"/>
    <col min="2" max="2" width="6.26953125" bestFit="1" customWidth="1"/>
    <col min="3" max="3" width="9.54296875" bestFit="1" customWidth="1"/>
    <col min="5" max="5" width="10.36328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2941</v>
      </c>
      <c r="B2" s="5" t="s">
        <v>28</v>
      </c>
      <c r="C2" s="6">
        <v>43566</v>
      </c>
      <c r="D2" s="7">
        <v>83</v>
      </c>
      <c r="E2" s="8" t="s">
        <v>42</v>
      </c>
      <c r="F2" s="7" t="s">
        <v>43</v>
      </c>
      <c r="G2" s="8" t="s">
        <v>44</v>
      </c>
      <c r="H2" s="7" t="str">
        <f>"000052"</f>
        <v>000052</v>
      </c>
      <c r="I2" s="6">
        <v>43177</v>
      </c>
      <c r="J2" s="7" t="str">
        <f>"000064"</f>
        <v>000064</v>
      </c>
      <c r="K2" s="6">
        <v>43177</v>
      </c>
      <c r="L2" s="7" t="str">
        <f>"000066"</f>
        <v>000066</v>
      </c>
      <c r="M2" s="6">
        <v>43177</v>
      </c>
      <c r="N2" s="7">
        <v>15</v>
      </c>
      <c r="O2" s="7" t="str">
        <f>"000267"</f>
        <v>000267</v>
      </c>
      <c r="P2" s="6">
        <v>43564</v>
      </c>
      <c r="Q2" s="9">
        <v>0.88075999999999999</v>
      </c>
      <c r="R2" s="9">
        <v>8.9730000000000004E-2</v>
      </c>
      <c r="S2" s="9">
        <v>0.79103000000000001</v>
      </c>
      <c r="T2" s="7">
        <v>11</v>
      </c>
      <c r="U2" s="6">
        <v>43566</v>
      </c>
      <c r="V2" s="7">
        <v>0</v>
      </c>
      <c r="W2" s="8" t="s">
        <v>45</v>
      </c>
      <c r="X2" s="7" t="s">
        <v>36</v>
      </c>
      <c r="Y2" s="8" t="s">
        <v>37</v>
      </c>
      <c r="Z2" s="7" t="s">
        <v>40</v>
      </c>
      <c r="AA2" s="8" t="s">
        <v>41</v>
      </c>
      <c r="AB2" s="9">
        <f t="shared" ref="AB2:AB11" si="0">Q2/100</f>
        <v>8.8076000000000005E-3</v>
      </c>
    </row>
    <row r="3" spans="1:28" x14ac:dyDescent="0.35">
      <c r="A3" s="4">
        <v>2942</v>
      </c>
      <c r="B3" s="5" t="s">
        <v>28</v>
      </c>
      <c r="C3" s="6">
        <v>43566</v>
      </c>
      <c r="D3" s="7">
        <v>83</v>
      </c>
      <c r="E3" s="8" t="s">
        <v>42</v>
      </c>
      <c r="F3" s="7" t="s">
        <v>46</v>
      </c>
      <c r="G3" s="8" t="s">
        <v>47</v>
      </c>
      <c r="H3" s="7" t="str">
        <f>"000118"</f>
        <v>000118</v>
      </c>
      <c r="I3" s="6">
        <v>41969</v>
      </c>
      <c r="J3" s="7" t="str">
        <f>"000121"</f>
        <v>000121</v>
      </c>
      <c r="K3" s="6">
        <v>42915</v>
      </c>
      <c r="L3" s="7" t="str">
        <f>"000219"</f>
        <v>000219</v>
      </c>
      <c r="M3" s="6">
        <v>42916</v>
      </c>
      <c r="N3" s="7">
        <v>14</v>
      </c>
      <c r="O3" s="7" t="str">
        <f>"000147"</f>
        <v>000147</v>
      </c>
      <c r="P3" s="6">
        <v>43563</v>
      </c>
      <c r="Q3" s="9">
        <v>9.7645099999999996</v>
      </c>
      <c r="R3" s="9">
        <v>1.2683599999999999</v>
      </c>
      <c r="S3" s="9">
        <v>8.4961500000000001</v>
      </c>
      <c r="T3" s="7">
        <v>12</v>
      </c>
      <c r="U3" s="6">
        <v>43566</v>
      </c>
      <c r="V3" s="7">
        <v>9980728302</v>
      </c>
      <c r="W3" s="8" t="s">
        <v>48</v>
      </c>
      <c r="X3" s="7" t="s">
        <v>32</v>
      </c>
      <c r="Y3" s="8" t="s">
        <v>33</v>
      </c>
      <c r="Z3" s="7" t="s">
        <v>49</v>
      </c>
      <c r="AA3" s="8" t="s">
        <v>50</v>
      </c>
      <c r="AB3" s="9">
        <f t="shared" si="0"/>
        <v>9.7645099999999999E-2</v>
      </c>
    </row>
    <row r="4" spans="1:28" x14ac:dyDescent="0.35">
      <c r="A4" s="4">
        <v>2943</v>
      </c>
      <c r="B4" s="5" t="s">
        <v>28</v>
      </c>
      <c r="C4" s="6">
        <v>43567</v>
      </c>
      <c r="D4" s="7">
        <v>83</v>
      </c>
      <c r="E4" s="8" t="s">
        <v>42</v>
      </c>
      <c r="F4" s="7" t="s">
        <v>51</v>
      </c>
      <c r="G4" s="8" t="s">
        <v>52</v>
      </c>
      <c r="H4" s="7" t="str">
        <f>"000013"</f>
        <v>000013</v>
      </c>
      <c r="I4" s="6">
        <v>42625</v>
      </c>
      <c r="J4" s="7" t="str">
        <f>"000012"</f>
        <v>000012</v>
      </c>
      <c r="K4" s="6">
        <v>42825</v>
      </c>
      <c r="L4" s="7" t="str">
        <f>"000119"</f>
        <v>000119</v>
      </c>
      <c r="M4" s="6">
        <v>43483</v>
      </c>
      <c r="N4" s="7">
        <v>16</v>
      </c>
      <c r="O4" s="7" t="str">
        <f>"000996"</f>
        <v>000996</v>
      </c>
      <c r="P4" s="6">
        <v>43579</v>
      </c>
      <c r="Q4" s="9">
        <v>7.07918</v>
      </c>
      <c r="R4" s="9">
        <v>0.87672000000000005</v>
      </c>
      <c r="S4" s="9">
        <v>6.2024600000000003</v>
      </c>
      <c r="T4" s="7">
        <v>17</v>
      </c>
      <c r="U4" s="6">
        <v>43567</v>
      </c>
      <c r="V4" s="7">
        <v>9845194409</v>
      </c>
      <c r="W4" s="8" t="s">
        <v>53</v>
      </c>
      <c r="X4" s="7" t="s">
        <v>29</v>
      </c>
      <c r="Y4" s="8" t="s">
        <v>30</v>
      </c>
      <c r="Z4" s="7" t="s">
        <v>40</v>
      </c>
      <c r="AA4" s="8" t="s">
        <v>41</v>
      </c>
      <c r="AB4" s="9">
        <f t="shared" si="0"/>
        <v>7.0791800000000002E-2</v>
      </c>
    </row>
    <row r="5" spans="1:28" x14ac:dyDescent="0.35">
      <c r="A5" s="4">
        <v>2944</v>
      </c>
      <c r="B5" s="5" t="s">
        <v>28</v>
      </c>
      <c r="C5" s="6">
        <v>43580</v>
      </c>
      <c r="D5" s="7">
        <v>83</v>
      </c>
      <c r="E5" s="8" t="s">
        <v>42</v>
      </c>
      <c r="F5" s="7" t="s">
        <v>54</v>
      </c>
      <c r="G5" s="8" t="s">
        <v>55</v>
      </c>
      <c r="H5" s="7" t="str">
        <f>"000106"</f>
        <v>000106</v>
      </c>
      <c r="I5" s="6">
        <v>42867</v>
      </c>
      <c r="J5" s="7" t="str">
        <f>"000122"</f>
        <v>000122</v>
      </c>
      <c r="K5" s="6">
        <v>42915</v>
      </c>
      <c r="L5" s="7" t="str">
        <f>"000220"</f>
        <v>000220</v>
      </c>
      <c r="M5" s="6">
        <v>42916</v>
      </c>
      <c r="N5" s="7">
        <v>14</v>
      </c>
      <c r="O5" s="7" t="str">
        <f>"000734"</f>
        <v>000734</v>
      </c>
      <c r="P5" s="6">
        <v>43578</v>
      </c>
      <c r="Q5" s="9">
        <v>5.2907700000000002</v>
      </c>
      <c r="R5" s="9">
        <v>0.59831999999999996</v>
      </c>
      <c r="S5" s="9">
        <v>4.69245</v>
      </c>
      <c r="T5" s="7">
        <v>28</v>
      </c>
      <c r="U5" s="6">
        <v>43580</v>
      </c>
      <c r="V5" s="7">
        <v>9980728302</v>
      </c>
      <c r="W5" s="8" t="s">
        <v>48</v>
      </c>
      <c r="X5" s="7" t="s">
        <v>56</v>
      </c>
      <c r="Y5" s="8" t="s">
        <v>57</v>
      </c>
      <c r="Z5" s="7" t="s">
        <v>49</v>
      </c>
      <c r="AA5" s="8" t="s">
        <v>50</v>
      </c>
      <c r="AB5" s="9">
        <f t="shared" si="0"/>
        <v>5.2907700000000002E-2</v>
      </c>
    </row>
    <row r="6" spans="1:28" x14ac:dyDescent="0.35">
      <c r="A6" s="4">
        <v>2945</v>
      </c>
      <c r="B6" s="5" t="s">
        <v>28</v>
      </c>
      <c r="C6" s="6">
        <v>43580</v>
      </c>
      <c r="D6" s="7">
        <v>83</v>
      </c>
      <c r="E6" s="8" t="s">
        <v>42</v>
      </c>
      <c r="F6" s="7" t="s">
        <v>58</v>
      </c>
      <c r="G6" s="8" t="s">
        <v>59</v>
      </c>
      <c r="H6" s="7" t="str">
        <f>"000153"</f>
        <v>000153</v>
      </c>
      <c r="I6" s="6">
        <v>41520</v>
      </c>
      <c r="J6" s="7" t="str">
        <f>"000068"</f>
        <v>000068</v>
      </c>
      <c r="K6" s="6">
        <v>42916</v>
      </c>
      <c r="L6" s="7" t="str">
        <f>"000224"</f>
        <v>000224</v>
      </c>
      <c r="M6" s="6">
        <v>42916</v>
      </c>
      <c r="N6" s="7">
        <v>12</v>
      </c>
      <c r="O6" s="7" t="str">
        <f>"000783"</f>
        <v>000783</v>
      </c>
      <c r="P6" s="6">
        <v>43578</v>
      </c>
      <c r="Q6" s="9">
        <v>19.802489999999999</v>
      </c>
      <c r="R6" s="9">
        <v>2.5676700000000001</v>
      </c>
      <c r="S6" s="9">
        <v>17.234819999999999</v>
      </c>
      <c r="T6" s="7">
        <v>28</v>
      </c>
      <c r="U6" s="6">
        <v>43580</v>
      </c>
      <c r="V6" s="7">
        <v>9448593413</v>
      </c>
      <c r="W6" s="8" t="s">
        <v>60</v>
      </c>
      <c r="X6" s="7" t="s">
        <v>38</v>
      </c>
      <c r="Y6" s="8" t="s">
        <v>39</v>
      </c>
      <c r="Z6" s="7" t="s">
        <v>49</v>
      </c>
      <c r="AA6" s="8" t="s">
        <v>50</v>
      </c>
      <c r="AB6" s="9">
        <f t="shared" si="0"/>
        <v>0.19802489999999998</v>
      </c>
    </row>
    <row r="7" spans="1:28" x14ac:dyDescent="0.35">
      <c r="A7" s="4">
        <v>2946</v>
      </c>
      <c r="B7" s="5" t="s">
        <v>28</v>
      </c>
      <c r="C7" s="6">
        <v>43580</v>
      </c>
      <c r="D7" s="7">
        <v>83</v>
      </c>
      <c r="E7" s="8" t="s">
        <v>42</v>
      </c>
      <c r="F7" s="7" t="s">
        <v>61</v>
      </c>
      <c r="G7" s="8" t="s">
        <v>62</v>
      </c>
      <c r="H7" s="7" t="str">
        <f>"00"</f>
        <v>00</v>
      </c>
      <c r="I7" s="6">
        <v>28</v>
      </c>
      <c r="J7" s="7" t="str">
        <f>"0094"</f>
        <v>0094</v>
      </c>
      <c r="K7" s="6">
        <v>1</v>
      </c>
      <c r="L7" s="7" t="str">
        <f>"000230"</f>
        <v>000230</v>
      </c>
      <c r="M7" s="6">
        <v>42916</v>
      </c>
      <c r="N7" s="7">
        <v>14</v>
      </c>
      <c r="O7" s="7" t="str">
        <f>"000786"</f>
        <v>000786</v>
      </c>
      <c r="P7" s="6">
        <v>43578</v>
      </c>
      <c r="Q7" s="9">
        <v>31.9131</v>
      </c>
      <c r="R7" s="9">
        <v>4.3109299999999999</v>
      </c>
      <c r="S7" s="9">
        <v>27.602170000000001</v>
      </c>
      <c r="T7" s="7">
        <v>28</v>
      </c>
      <c r="U7" s="6">
        <v>43580</v>
      </c>
      <c r="V7" s="7">
        <v>9663428222</v>
      </c>
      <c r="W7" s="8" t="s">
        <v>63</v>
      </c>
      <c r="X7" s="7" t="s">
        <v>38</v>
      </c>
      <c r="Y7" s="8" t="s">
        <v>39</v>
      </c>
      <c r="Z7" s="7" t="s">
        <v>49</v>
      </c>
      <c r="AA7" s="8" t="s">
        <v>50</v>
      </c>
      <c r="AB7" s="9">
        <f t="shared" si="0"/>
        <v>0.319131</v>
      </c>
    </row>
    <row r="8" spans="1:28" x14ac:dyDescent="0.35">
      <c r="A8" s="4">
        <v>2947</v>
      </c>
      <c r="B8" s="5" t="s">
        <v>28</v>
      </c>
      <c r="C8" s="6">
        <v>43580</v>
      </c>
      <c r="D8" s="7">
        <v>83</v>
      </c>
      <c r="E8" s="8" t="s">
        <v>42</v>
      </c>
      <c r="F8" s="7" t="s">
        <v>51</v>
      </c>
      <c r="G8" s="8" t="s">
        <v>52</v>
      </c>
      <c r="H8" s="7" t="str">
        <f>"000013"</f>
        <v>000013</v>
      </c>
      <c r="I8" s="6">
        <v>42625</v>
      </c>
      <c r="J8" s="7" t="str">
        <f>"000001"</f>
        <v>000001</v>
      </c>
      <c r="K8" s="6">
        <v>43564</v>
      </c>
      <c r="L8" s="7" t="str">
        <f>"000001"</f>
        <v>000001</v>
      </c>
      <c r="M8" s="6">
        <v>43564</v>
      </c>
      <c r="N8" s="7">
        <v>16</v>
      </c>
      <c r="O8" s="7" t="str">
        <f>""</f>
        <v/>
      </c>
      <c r="P8" s="6"/>
      <c r="Q8" s="9">
        <v>7.07918</v>
      </c>
      <c r="R8" s="9">
        <v>0.71714999999999995</v>
      </c>
      <c r="S8" s="9">
        <v>6.3620299999999999</v>
      </c>
      <c r="T8" s="7">
        <v>29</v>
      </c>
      <c r="U8" s="6">
        <v>43580</v>
      </c>
      <c r="V8" s="7">
        <v>9845194409</v>
      </c>
      <c r="W8" s="8" t="s">
        <v>53</v>
      </c>
      <c r="X8" s="7" t="s">
        <v>29</v>
      </c>
      <c r="Y8" s="8" t="s">
        <v>30</v>
      </c>
      <c r="Z8" s="7" t="s">
        <v>40</v>
      </c>
      <c r="AA8" s="8" t="s">
        <v>41</v>
      </c>
      <c r="AB8" s="9">
        <f t="shared" si="0"/>
        <v>7.0791800000000002E-2</v>
      </c>
    </row>
    <row r="9" spans="1:28" x14ac:dyDescent="0.35">
      <c r="A9" s="4">
        <v>2948</v>
      </c>
      <c r="B9" s="5" t="s">
        <v>28</v>
      </c>
      <c r="C9" s="6">
        <v>43580</v>
      </c>
      <c r="D9" s="7">
        <v>83</v>
      </c>
      <c r="E9" s="8" t="s">
        <v>42</v>
      </c>
      <c r="F9" s="7" t="s">
        <v>51</v>
      </c>
      <c r="G9" s="8" t="s">
        <v>52</v>
      </c>
      <c r="H9" s="7" t="str">
        <f>"000013"</f>
        <v>000013</v>
      </c>
      <c r="I9" s="6">
        <v>42625</v>
      </c>
      <c r="J9" s="7" t="str">
        <f>"000001"</f>
        <v>000001</v>
      </c>
      <c r="K9" s="6">
        <v>43564</v>
      </c>
      <c r="L9" s="7" t="str">
        <f>"000001"</f>
        <v>000001</v>
      </c>
      <c r="M9" s="6">
        <v>43564</v>
      </c>
      <c r="N9" s="7">
        <v>16</v>
      </c>
      <c r="O9" s="7" t="str">
        <f>""</f>
        <v/>
      </c>
      <c r="P9" s="6"/>
      <c r="Q9" s="9">
        <v>7.2387899999999998</v>
      </c>
      <c r="R9" s="9">
        <v>0.89290999999999998</v>
      </c>
      <c r="S9" s="9">
        <v>6.3458800000000002</v>
      </c>
      <c r="T9" s="7">
        <v>29</v>
      </c>
      <c r="U9" s="6">
        <v>43580</v>
      </c>
      <c r="V9" s="7">
        <v>9845194409</v>
      </c>
      <c r="W9" s="8" t="s">
        <v>53</v>
      </c>
      <c r="X9" s="7" t="s">
        <v>29</v>
      </c>
      <c r="Y9" s="8" t="s">
        <v>30</v>
      </c>
      <c r="Z9" s="7" t="s">
        <v>40</v>
      </c>
      <c r="AA9" s="8" t="s">
        <v>41</v>
      </c>
      <c r="AB9" s="9">
        <f t="shared" si="0"/>
        <v>7.2387900000000005E-2</v>
      </c>
    </row>
    <row r="10" spans="1:28" x14ac:dyDescent="0.35">
      <c r="A10" s="4">
        <v>2949</v>
      </c>
      <c r="B10" s="5" t="s">
        <v>34</v>
      </c>
      <c r="C10" s="6">
        <v>43591</v>
      </c>
      <c r="D10" s="7">
        <v>83</v>
      </c>
      <c r="E10" s="8" t="s">
        <v>42</v>
      </c>
      <c r="F10" s="7" t="s">
        <v>75</v>
      </c>
      <c r="G10" s="8" t="s">
        <v>76</v>
      </c>
      <c r="H10" s="7" t="str">
        <f>"000154"</f>
        <v>000154</v>
      </c>
      <c r="I10" s="6">
        <v>41520</v>
      </c>
      <c r="J10" s="7" t="str">
        <f>"000069"</f>
        <v>000069</v>
      </c>
      <c r="K10" s="6">
        <v>42915</v>
      </c>
      <c r="L10" s="7" t="str">
        <f>"000225"</f>
        <v>000225</v>
      </c>
      <c r="M10" s="6">
        <v>42916</v>
      </c>
      <c r="N10" s="7">
        <v>12</v>
      </c>
      <c r="O10" s="7" t="str">
        <f>"001183"</f>
        <v>001183</v>
      </c>
      <c r="P10" s="6">
        <v>43582</v>
      </c>
      <c r="Q10" s="9">
        <v>19.73828</v>
      </c>
      <c r="R10" s="9">
        <v>2.5604100000000001</v>
      </c>
      <c r="S10" s="9">
        <v>17.177869999999999</v>
      </c>
      <c r="T10" s="7">
        <v>37</v>
      </c>
      <c r="U10" s="6">
        <v>43591</v>
      </c>
      <c r="V10" s="7">
        <v>9448593413</v>
      </c>
      <c r="W10" s="8" t="s">
        <v>77</v>
      </c>
      <c r="X10" s="7" t="s">
        <v>38</v>
      </c>
      <c r="Y10" s="8" t="s">
        <v>39</v>
      </c>
      <c r="Z10" s="7" t="s">
        <v>49</v>
      </c>
      <c r="AA10" s="8" t="s">
        <v>50</v>
      </c>
      <c r="AB10" s="9">
        <f t="shared" si="0"/>
        <v>0.1973828</v>
      </c>
    </row>
    <row r="11" spans="1:28" x14ac:dyDescent="0.35">
      <c r="A11" s="4">
        <v>2950</v>
      </c>
      <c r="B11" s="5" t="s">
        <v>34</v>
      </c>
      <c r="C11" s="6">
        <v>43615</v>
      </c>
      <c r="D11" s="7">
        <v>83</v>
      </c>
      <c r="E11" s="8" t="s">
        <v>42</v>
      </c>
      <c r="F11" s="7" t="s">
        <v>78</v>
      </c>
      <c r="G11" s="8" t="s">
        <v>79</v>
      </c>
      <c r="H11" s="7" t="str">
        <f>"000003"</f>
        <v>000003</v>
      </c>
      <c r="I11" s="6">
        <v>43061</v>
      </c>
      <c r="J11" s="7" t="str">
        <f>"000053"</f>
        <v>000053</v>
      </c>
      <c r="K11" s="6">
        <v>43061</v>
      </c>
      <c r="L11" s="7" t="str">
        <f>"000133"</f>
        <v>000133</v>
      </c>
      <c r="M11" s="6">
        <v>43061</v>
      </c>
      <c r="N11" s="7">
        <v>17</v>
      </c>
      <c r="O11" s="7" t="str">
        <f>"002162"</f>
        <v>002162</v>
      </c>
      <c r="P11" s="6">
        <v>43613</v>
      </c>
      <c r="Q11" s="9">
        <v>9.8690499999999997</v>
      </c>
      <c r="R11" s="9">
        <v>1.29518</v>
      </c>
      <c r="S11" s="9">
        <v>8.5738699999999994</v>
      </c>
      <c r="T11" s="7">
        <v>65</v>
      </c>
      <c r="U11" s="6">
        <v>43615</v>
      </c>
      <c r="V11" s="7">
        <v>9632502699</v>
      </c>
      <c r="W11" s="8" t="s">
        <v>80</v>
      </c>
      <c r="X11" s="7" t="s">
        <v>32</v>
      </c>
      <c r="Y11" s="8" t="s">
        <v>33</v>
      </c>
      <c r="Z11" s="7" t="s">
        <v>49</v>
      </c>
      <c r="AA11" s="8" t="s">
        <v>50</v>
      </c>
      <c r="AB11" s="9">
        <f t="shared" si="0"/>
        <v>9.86905E-2</v>
      </c>
    </row>
    <row r="12" spans="1:28" x14ac:dyDescent="0.35">
      <c r="A12" s="4">
        <v>2951</v>
      </c>
      <c r="B12" s="5" t="s">
        <v>31</v>
      </c>
      <c r="C12" s="6">
        <v>43623</v>
      </c>
      <c r="D12" s="7">
        <v>83</v>
      </c>
      <c r="E12" s="8" t="s">
        <v>42</v>
      </c>
      <c r="F12" s="7" t="s">
        <v>51</v>
      </c>
      <c r="G12" s="8" t="s">
        <v>52</v>
      </c>
      <c r="H12" s="7" t="str">
        <f>"000013"</f>
        <v>000013</v>
      </c>
      <c r="I12" s="6">
        <v>42625</v>
      </c>
      <c r="J12" s="7" t="str">
        <f>"000015"</f>
        <v>000015</v>
      </c>
      <c r="K12" s="6">
        <v>43636</v>
      </c>
      <c r="L12" s="7" t="str">
        <f>"000015"</f>
        <v>000015</v>
      </c>
      <c r="M12" s="6">
        <v>43636</v>
      </c>
      <c r="N12" s="7">
        <v>16</v>
      </c>
      <c r="O12" s="7" t="str">
        <f>""</f>
        <v/>
      </c>
      <c r="P12" s="6"/>
      <c r="Q12" s="9">
        <v>7.2308199999999996</v>
      </c>
      <c r="R12" s="9">
        <v>0.96960000000000002</v>
      </c>
      <c r="S12" s="9">
        <v>6.2612199999999998</v>
      </c>
      <c r="T12" s="7">
        <v>73</v>
      </c>
      <c r="U12" s="6">
        <v>43623</v>
      </c>
      <c r="V12" s="7">
        <v>9845194409</v>
      </c>
      <c r="W12" s="8" t="s">
        <v>53</v>
      </c>
      <c r="X12" s="7" t="s">
        <v>29</v>
      </c>
      <c r="Y12" s="8" t="s">
        <v>30</v>
      </c>
      <c r="Z12" s="7" t="s">
        <v>40</v>
      </c>
      <c r="AA12" s="8" t="s">
        <v>41</v>
      </c>
      <c r="AB12" s="9">
        <v>7.2308199999999989E-2</v>
      </c>
    </row>
    <row r="13" spans="1:28" x14ac:dyDescent="0.35">
      <c r="A13" s="4">
        <v>2952</v>
      </c>
      <c r="B13" s="5" t="s">
        <v>31</v>
      </c>
      <c r="C13" s="6">
        <v>43628</v>
      </c>
      <c r="D13" s="7">
        <v>83</v>
      </c>
      <c r="E13" s="8" t="s">
        <v>42</v>
      </c>
      <c r="F13" s="7" t="s">
        <v>64</v>
      </c>
      <c r="G13" s="8" t="s">
        <v>65</v>
      </c>
      <c r="H13" s="7" t="str">
        <f>"000105"</f>
        <v>000105</v>
      </c>
      <c r="I13" s="6">
        <v>43083</v>
      </c>
      <c r="J13" s="7" t="str">
        <f>"000056"</f>
        <v>000056</v>
      </c>
      <c r="K13" s="6">
        <v>43083</v>
      </c>
      <c r="L13" s="7" t="str">
        <f>"000145"</f>
        <v>000145</v>
      </c>
      <c r="M13" s="6">
        <v>43083</v>
      </c>
      <c r="N13" s="7">
        <v>14</v>
      </c>
      <c r="O13" s="7" t="str">
        <f>"002461"</f>
        <v>002461</v>
      </c>
      <c r="P13" s="6">
        <v>43622</v>
      </c>
      <c r="Q13" s="9">
        <v>23.903269999999999</v>
      </c>
      <c r="R13" s="9">
        <v>3.5010500000000002</v>
      </c>
      <c r="S13" s="9">
        <v>20.40222</v>
      </c>
      <c r="T13" s="7">
        <v>76</v>
      </c>
      <c r="U13" s="6">
        <v>43628</v>
      </c>
      <c r="V13" s="7">
        <v>9480828222</v>
      </c>
      <c r="W13" s="8" t="s">
        <v>35</v>
      </c>
      <c r="X13" s="7" t="s">
        <v>38</v>
      </c>
      <c r="Y13" s="8" t="s">
        <v>39</v>
      </c>
      <c r="Z13" s="7" t="s">
        <v>49</v>
      </c>
      <c r="AA13" s="8" t="s">
        <v>50</v>
      </c>
      <c r="AB13" s="9">
        <v>0.23903269999999999</v>
      </c>
    </row>
    <row r="14" spans="1:28" x14ac:dyDescent="0.35">
      <c r="A14" s="4">
        <v>2953</v>
      </c>
      <c r="B14" s="5" t="s">
        <v>31</v>
      </c>
      <c r="C14" s="6">
        <v>43628</v>
      </c>
      <c r="D14" s="7">
        <v>83</v>
      </c>
      <c r="E14" s="8" t="s">
        <v>42</v>
      </c>
      <c r="F14" s="7" t="s">
        <v>66</v>
      </c>
      <c r="G14" s="8" t="s">
        <v>67</v>
      </c>
      <c r="H14" s="7" t="str">
        <f>"000211"</f>
        <v>000211</v>
      </c>
      <c r="I14" s="6">
        <v>42781</v>
      </c>
      <c r="J14" s="7" t="str">
        <f>"000058"</f>
        <v>000058</v>
      </c>
      <c r="K14" s="6">
        <v>43088</v>
      </c>
      <c r="L14" s="7" t="str">
        <f>"000149"</f>
        <v>000149</v>
      </c>
      <c r="M14" s="6">
        <v>43088</v>
      </c>
      <c r="N14" s="7">
        <v>17</v>
      </c>
      <c r="O14" s="7" t="str">
        <f>"002575"</f>
        <v>002575</v>
      </c>
      <c r="P14" s="6">
        <v>43627</v>
      </c>
      <c r="Q14" s="9">
        <v>14.932729999999999</v>
      </c>
      <c r="R14" s="9">
        <v>1.88151</v>
      </c>
      <c r="S14" s="9">
        <v>13.051220000000001</v>
      </c>
      <c r="T14" s="7">
        <v>76</v>
      </c>
      <c r="U14" s="6">
        <v>43628</v>
      </c>
      <c r="V14" s="7">
        <v>9845194409</v>
      </c>
      <c r="W14" s="8" t="s">
        <v>68</v>
      </c>
      <c r="X14" s="7" t="s">
        <v>32</v>
      </c>
      <c r="Y14" s="8" t="s">
        <v>33</v>
      </c>
      <c r="Z14" s="7" t="s">
        <v>49</v>
      </c>
      <c r="AA14" s="8" t="s">
        <v>50</v>
      </c>
      <c r="AB14" s="9">
        <v>0.1493273</v>
      </c>
    </row>
    <row r="15" spans="1:28" x14ac:dyDescent="0.35">
      <c r="A15" s="4">
        <v>2954</v>
      </c>
      <c r="B15" s="5" t="s">
        <v>31</v>
      </c>
      <c r="C15" s="6">
        <v>43628</v>
      </c>
      <c r="D15" s="7">
        <v>83</v>
      </c>
      <c r="E15" s="8" t="s">
        <v>42</v>
      </c>
      <c r="F15" s="7" t="s">
        <v>69</v>
      </c>
      <c r="G15" s="8" t="s">
        <v>70</v>
      </c>
      <c r="H15" s="7" t="str">
        <f>"000109"</f>
        <v>000109</v>
      </c>
      <c r="I15" s="6">
        <v>43089</v>
      </c>
      <c r="J15" s="7" t="str">
        <f>"000060"</f>
        <v>000060</v>
      </c>
      <c r="K15" s="6">
        <v>43089</v>
      </c>
      <c r="L15" s="7" t="str">
        <f>"000150"</f>
        <v>000150</v>
      </c>
      <c r="M15" s="6">
        <v>43089</v>
      </c>
      <c r="N15" s="7">
        <v>17</v>
      </c>
      <c r="O15" s="7" t="str">
        <f>"002577"</f>
        <v>002577</v>
      </c>
      <c r="P15" s="6">
        <v>43627</v>
      </c>
      <c r="Q15" s="9">
        <v>9.7636500000000002</v>
      </c>
      <c r="R15" s="9">
        <v>1.2832699999999999</v>
      </c>
      <c r="S15" s="9">
        <v>8.4803800000000003</v>
      </c>
      <c r="T15" s="7">
        <v>76</v>
      </c>
      <c r="U15" s="6">
        <v>43628</v>
      </c>
      <c r="V15" s="7">
        <v>9481544777</v>
      </c>
      <c r="W15" s="8" t="s">
        <v>71</v>
      </c>
      <c r="X15" s="7" t="s">
        <v>32</v>
      </c>
      <c r="Y15" s="8" t="s">
        <v>33</v>
      </c>
      <c r="Z15" s="7" t="s">
        <v>49</v>
      </c>
      <c r="AA15" s="8" t="s">
        <v>50</v>
      </c>
      <c r="AB15" s="9">
        <v>9.7636500000000001E-2</v>
      </c>
    </row>
    <row r="16" spans="1:28" x14ac:dyDescent="0.35">
      <c r="A16" s="4">
        <v>2955</v>
      </c>
      <c r="B16" s="5" t="s">
        <v>31</v>
      </c>
      <c r="C16" s="6">
        <v>43628</v>
      </c>
      <c r="D16" s="7">
        <v>83</v>
      </c>
      <c r="E16" s="8" t="s">
        <v>42</v>
      </c>
      <c r="F16" s="7" t="s">
        <v>72</v>
      </c>
      <c r="G16" s="8" t="s">
        <v>73</v>
      </c>
      <c r="H16" s="7" t="str">
        <f>"000108"</f>
        <v>000108</v>
      </c>
      <c r="I16" s="6">
        <v>43088</v>
      </c>
      <c r="J16" s="7" t="str">
        <f>"000059"</f>
        <v>000059</v>
      </c>
      <c r="K16" s="6">
        <v>43089</v>
      </c>
      <c r="L16" s="7" t="str">
        <f>"000152"</f>
        <v>000152</v>
      </c>
      <c r="M16" s="6">
        <v>43089</v>
      </c>
      <c r="N16" s="7">
        <v>17</v>
      </c>
      <c r="O16" s="7" t="str">
        <f>"002579"</f>
        <v>002579</v>
      </c>
      <c r="P16" s="6">
        <v>43627</v>
      </c>
      <c r="Q16" s="9">
        <v>19.816880000000001</v>
      </c>
      <c r="R16" s="9">
        <v>2.5442800000000001</v>
      </c>
      <c r="S16" s="9">
        <v>17.272600000000001</v>
      </c>
      <c r="T16" s="7">
        <v>76</v>
      </c>
      <c r="U16" s="6">
        <v>43628</v>
      </c>
      <c r="V16" s="7">
        <v>9481544777</v>
      </c>
      <c r="W16" s="8" t="s">
        <v>74</v>
      </c>
      <c r="X16" s="7" t="s">
        <v>32</v>
      </c>
      <c r="Y16" s="8" t="s">
        <v>33</v>
      </c>
      <c r="Z16" s="7" t="s">
        <v>49</v>
      </c>
      <c r="AA16" s="8" t="s">
        <v>50</v>
      </c>
      <c r="AB16" s="9">
        <v>0.19816880000000001</v>
      </c>
    </row>
    <row r="17" spans="1:28" x14ac:dyDescent="0.35">
      <c r="A17" s="4">
        <v>2956</v>
      </c>
      <c r="B17" s="5" t="s">
        <v>81</v>
      </c>
      <c r="C17" s="6">
        <v>43647</v>
      </c>
      <c r="D17" s="7">
        <v>83</v>
      </c>
      <c r="E17" s="8" t="s">
        <v>42</v>
      </c>
      <c r="F17" s="7" t="s">
        <v>82</v>
      </c>
      <c r="G17" s="10" t="s">
        <v>83</v>
      </c>
      <c r="H17" s="7" t="str">
        <f>"000130"</f>
        <v>000130</v>
      </c>
      <c r="I17" s="6">
        <v>43117</v>
      </c>
      <c r="J17" s="7" t="str">
        <f>"000092"</f>
        <v>000092</v>
      </c>
      <c r="K17" s="6">
        <v>43117</v>
      </c>
      <c r="L17" s="7" t="str">
        <f>"000203"</f>
        <v>000203</v>
      </c>
      <c r="M17" s="6">
        <v>43117</v>
      </c>
      <c r="N17" s="7">
        <v>14</v>
      </c>
      <c r="O17" s="7" t="str">
        <f>"003132"</f>
        <v>003132</v>
      </c>
      <c r="P17" s="6">
        <v>43643</v>
      </c>
      <c r="Q17" s="11">
        <v>19.398420000000002</v>
      </c>
      <c r="R17" s="11">
        <v>2.4647999999999999</v>
      </c>
      <c r="S17" s="11">
        <v>16.933620000000001</v>
      </c>
      <c r="T17" s="7">
        <v>96</v>
      </c>
      <c r="U17" s="6">
        <v>43647</v>
      </c>
      <c r="V17" s="7">
        <v>9480828222</v>
      </c>
      <c r="W17" s="10" t="s">
        <v>84</v>
      </c>
      <c r="X17" s="7" t="s">
        <v>85</v>
      </c>
      <c r="Y17" s="10" t="s">
        <v>86</v>
      </c>
      <c r="Z17" s="7" t="s">
        <v>49</v>
      </c>
      <c r="AA17" s="10" t="s">
        <v>50</v>
      </c>
      <c r="AB17" s="11">
        <f t="shared" ref="AB17:AB34" si="1">Q17/100</f>
        <v>0.19398420000000002</v>
      </c>
    </row>
    <row r="18" spans="1:28" x14ac:dyDescent="0.35">
      <c r="A18" s="4">
        <v>2957</v>
      </c>
      <c r="B18" s="5" t="s">
        <v>81</v>
      </c>
      <c r="C18" s="6">
        <v>43647</v>
      </c>
      <c r="D18" s="7">
        <v>83</v>
      </c>
      <c r="E18" s="8" t="s">
        <v>42</v>
      </c>
      <c r="F18" s="7" t="s">
        <v>87</v>
      </c>
      <c r="G18" s="10" t="s">
        <v>88</v>
      </c>
      <c r="H18" s="7" t="str">
        <f>"000122"</f>
        <v>000122</v>
      </c>
      <c r="I18" s="6">
        <v>41969</v>
      </c>
      <c r="J18" s="7" t="str">
        <f>"000223"</f>
        <v>000223</v>
      </c>
      <c r="K18" s="6">
        <v>42459</v>
      </c>
      <c r="L18" s="7" t="str">
        <f>"000475"</f>
        <v>000475</v>
      </c>
      <c r="M18" s="6">
        <v>42460</v>
      </c>
      <c r="N18" s="7">
        <v>13</v>
      </c>
      <c r="O18" s="7" t="str">
        <f>"003286"</f>
        <v>003286</v>
      </c>
      <c r="P18" s="6">
        <v>43284</v>
      </c>
      <c r="Q18" s="11">
        <v>23.09009</v>
      </c>
      <c r="R18" s="11">
        <v>2.54237</v>
      </c>
      <c r="S18" s="11">
        <v>20.547720000000002</v>
      </c>
      <c r="T18" s="7">
        <v>96</v>
      </c>
      <c r="U18" s="6">
        <v>43647</v>
      </c>
      <c r="V18" s="7">
        <v>9480828222</v>
      </c>
      <c r="W18" s="10" t="s">
        <v>89</v>
      </c>
      <c r="X18" s="7" t="s">
        <v>32</v>
      </c>
      <c r="Y18" s="10" t="s">
        <v>33</v>
      </c>
      <c r="Z18" s="7" t="s">
        <v>49</v>
      </c>
      <c r="AA18" s="10" t="s">
        <v>50</v>
      </c>
      <c r="AB18" s="11">
        <f t="shared" si="1"/>
        <v>0.23090089999999999</v>
      </c>
    </row>
    <row r="19" spans="1:28" x14ac:dyDescent="0.35">
      <c r="A19" s="4">
        <v>2958</v>
      </c>
      <c r="B19" s="5" t="s">
        <v>81</v>
      </c>
      <c r="C19" s="6">
        <v>43654</v>
      </c>
      <c r="D19" s="7">
        <v>83</v>
      </c>
      <c r="E19" s="8" t="s">
        <v>42</v>
      </c>
      <c r="F19" s="7" t="s">
        <v>51</v>
      </c>
      <c r="G19" s="10" t="s">
        <v>52</v>
      </c>
      <c r="H19" s="7" t="str">
        <f>"000013"</f>
        <v>000013</v>
      </c>
      <c r="I19" s="6">
        <v>42625</v>
      </c>
      <c r="J19" s="7" t="str">
        <f>"000034"</f>
        <v>000034</v>
      </c>
      <c r="K19" s="6">
        <v>43725</v>
      </c>
      <c r="L19" s="7" t="str">
        <f>"000034"</f>
        <v>000034</v>
      </c>
      <c r="M19" s="6">
        <v>43725</v>
      </c>
      <c r="N19" s="7">
        <v>16</v>
      </c>
      <c r="O19" s="7" t="str">
        <f>"005643"</f>
        <v>005643</v>
      </c>
      <c r="P19" s="6">
        <v>43741</v>
      </c>
      <c r="Q19" s="11">
        <v>7.2308199999999996</v>
      </c>
      <c r="R19" s="11">
        <v>0.87661</v>
      </c>
      <c r="S19" s="11">
        <v>6.3542100000000001</v>
      </c>
      <c r="T19" s="7">
        <v>109</v>
      </c>
      <c r="U19" s="6">
        <v>43654</v>
      </c>
      <c r="V19" s="7">
        <v>9845194409</v>
      </c>
      <c r="W19" s="10" t="s">
        <v>53</v>
      </c>
      <c r="X19" s="7" t="s">
        <v>29</v>
      </c>
      <c r="Y19" s="10" t="s">
        <v>30</v>
      </c>
      <c r="Z19" s="7" t="s">
        <v>40</v>
      </c>
      <c r="AA19" s="10" t="s">
        <v>41</v>
      </c>
      <c r="AB19" s="11">
        <f t="shared" si="1"/>
        <v>7.2308199999999989E-2</v>
      </c>
    </row>
    <row r="20" spans="1:28" x14ac:dyDescent="0.35">
      <c r="A20" s="4">
        <v>2959</v>
      </c>
      <c r="B20" s="5" t="s">
        <v>81</v>
      </c>
      <c r="C20" s="6">
        <v>43664</v>
      </c>
      <c r="D20" s="7">
        <v>83</v>
      </c>
      <c r="E20" s="8" t="s">
        <v>42</v>
      </c>
      <c r="F20" s="7" t="s">
        <v>90</v>
      </c>
      <c r="G20" s="10" t="s">
        <v>91</v>
      </c>
      <c r="H20" s="7" t="str">
        <f>"000099"</f>
        <v>000099</v>
      </c>
      <c r="I20" s="6">
        <v>42858</v>
      </c>
      <c r="J20" s="7" t="str">
        <f>"000028"</f>
        <v>000028</v>
      </c>
      <c r="K20" s="6">
        <v>43015</v>
      </c>
      <c r="L20" s="7" t="str">
        <f>"000084"</f>
        <v>000084</v>
      </c>
      <c r="M20" s="6">
        <v>43015</v>
      </c>
      <c r="N20" s="7">
        <v>17</v>
      </c>
      <c r="O20" s="7" t="str">
        <f>"004975"</f>
        <v>004975</v>
      </c>
      <c r="P20" s="6">
        <v>43320</v>
      </c>
      <c r="Q20" s="11">
        <v>1.64212</v>
      </c>
      <c r="R20" s="11">
        <v>0.15310000000000001</v>
      </c>
      <c r="S20" s="11">
        <v>1.48902</v>
      </c>
      <c r="T20" s="7">
        <v>116</v>
      </c>
      <c r="U20" s="6">
        <v>43664</v>
      </c>
      <c r="V20" s="7">
        <v>9845194409</v>
      </c>
      <c r="W20" s="10" t="s">
        <v>92</v>
      </c>
      <c r="X20" s="7" t="s">
        <v>93</v>
      </c>
      <c r="Y20" s="10" t="s">
        <v>94</v>
      </c>
      <c r="Z20" s="7" t="s">
        <v>49</v>
      </c>
      <c r="AA20" s="10" t="s">
        <v>50</v>
      </c>
      <c r="AB20" s="11">
        <f t="shared" si="1"/>
        <v>1.64212E-2</v>
      </c>
    </row>
    <row r="21" spans="1:28" x14ac:dyDescent="0.35">
      <c r="A21" s="4">
        <v>2960</v>
      </c>
      <c r="B21" s="5" t="s">
        <v>81</v>
      </c>
      <c r="C21" s="6">
        <v>43669</v>
      </c>
      <c r="D21" s="7">
        <v>83</v>
      </c>
      <c r="E21" s="8" t="s">
        <v>42</v>
      </c>
      <c r="F21" s="7" t="s">
        <v>95</v>
      </c>
      <c r="G21" s="10" t="s">
        <v>96</v>
      </c>
      <c r="H21" s="7" t="str">
        <f>"000128"</f>
        <v>000128</v>
      </c>
      <c r="I21" s="6">
        <v>43109</v>
      </c>
      <c r="J21" s="7" t="str">
        <f>"000090"</f>
        <v>000090</v>
      </c>
      <c r="K21" s="6">
        <v>43109</v>
      </c>
      <c r="L21" s="7" t="str">
        <f>"000197"</f>
        <v>000197</v>
      </c>
      <c r="M21" s="6">
        <v>43109</v>
      </c>
      <c r="N21" s="7">
        <v>16</v>
      </c>
      <c r="O21" s="7" t="str">
        <f>"003716"</f>
        <v>003716</v>
      </c>
      <c r="P21" s="6">
        <v>43664</v>
      </c>
      <c r="Q21" s="11">
        <v>9.2484699999999993</v>
      </c>
      <c r="R21" s="11">
        <v>1.2300500000000001</v>
      </c>
      <c r="S21" s="11">
        <v>8.0184200000000008</v>
      </c>
      <c r="T21" s="7">
        <v>122</v>
      </c>
      <c r="U21" s="6">
        <v>43669</v>
      </c>
      <c r="V21" s="7">
        <v>9480828222</v>
      </c>
      <c r="W21" s="10" t="s">
        <v>97</v>
      </c>
      <c r="X21" s="7" t="s">
        <v>98</v>
      </c>
      <c r="Y21" s="10" t="s">
        <v>99</v>
      </c>
      <c r="Z21" s="7" t="s">
        <v>49</v>
      </c>
      <c r="AA21" s="10" t="s">
        <v>50</v>
      </c>
      <c r="AB21" s="11">
        <f t="shared" si="1"/>
        <v>9.2484699999999989E-2</v>
      </c>
    </row>
    <row r="22" spans="1:28" x14ac:dyDescent="0.35">
      <c r="A22" s="4">
        <v>2961</v>
      </c>
      <c r="B22" s="5" t="s">
        <v>81</v>
      </c>
      <c r="C22" s="6">
        <v>43669</v>
      </c>
      <c r="D22" s="7">
        <v>83</v>
      </c>
      <c r="E22" s="8" t="s">
        <v>42</v>
      </c>
      <c r="F22" s="7" t="s">
        <v>100</v>
      </c>
      <c r="G22" s="10" t="s">
        <v>101</v>
      </c>
      <c r="H22" s="7" t="str">
        <f>"000154"</f>
        <v>000154</v>
      </c>
      <c r="I22" s="6">
        <v>43131</v>
      </c>
      <c r="J22" s="7" t="str">
        <f>"000112"</f>
        <v>000112</v>
      </c>
      <c r="K22" s="6">
        <v>43131</v>
      </c>
      <c r="L22" s="7" t="str">
        <f>"000246"</f>
        <v>000246</v>
      </c>
      <c r="M22" s="6">
        <v>43131</v>
      </c>
      <c r="N22" s="7">
        <v>16</v>
      </c>
      <c r="O22" s="7" t="str">
        <f>"003717"</f>
        <v>003717</v>
      </c>
      <c r="P22" s="6">
        <v>43664</v>
      </c>
      <c r="Q22" s="11">
        <v>14.09796</v>
      </c>
      <c r="R22" s="11">
        <v>1.8780300000000001</v>
      </c>
      <c r="S22" s="11">
        <v>12.21993</v>
      </c>
      <c r="T22" s="7">
        <v>122</v>
      </c>
      <c r="U22" s="6">
        <v>43669</v>
      </c>
      <c r="V22" s="7">
        <v>9880116566</v>
      </c>
      <c r="W22" s="10" t="s">
        <v>102</v>
      </c>
      <c r="X22" s="7" t="s">
        <v>98</v>
      </c>
      <c r="Y22" s="10" t="s">
        <v>99</v>
      </c>
      <c r="Z22" s="7" t="s">
        <v>49</v>
      </c>
      <c r="AA22" s="10" t="s">
        <v>50</v>
      </c>
      <c r="AB22" s="11">
        <f t="shared" si="1"/>
        <v>0.14097960000000001</v>
      </c>
    </row>
    <row r="23" spans="1:28" x14ac:dyDescent="0.35">
      <c r="A23" s="4">
        <v>2962</v>
      </c>
      <c r="B23" s="5" t="s">
        <v>81</v>
      </c>
      <c r="C23" s="6">
        <v>43677</v>
      </c>
      <c r="D23" s="7">
        <v>83</v>
      </c>
      <c r="E23" s="8" t="s">
        <v>42</v>
      </c>
      <c r="F23" s="7" t="s">
        <v>103</v>
      </c>
      <c r="G23" s="10" t="s">
        <v>104</v>
      </c>
      <c r="H23" s="7" t="str">
        <f>"000055"</f>
        <v>000055</v>
      </c>
      <c r="I23" s="6">
        <v>43307</v>
      </c>
      <c r="J23" s="7" t="str">
        <f>"000041"</f>
        <v>000041</v>
      </c>
      <c r="K23" s="6">
        <v>43307</v>
      </c>
      <c r="L23" s="7" t="str">
        <f>"000094"</f>
        <v>000094</v>
      </c>
      <c r="M23" s="6">
        <v>43308</v>
      </c>
      <c r="N23" s="7">
        <v>18</v>
      </c>
      <c r="O23" s="7" t="str">
        <f>"004075"</f>
        <v>004075</v>
      </c>
      <c r="P23" s="6">
        <v>43672</v>
      </c>
      <c r="Q23" s="11">
        <v>20.95579</v>
      </c>
      <c r="R23" s="11">
        <v>2.1606299999999998</v>
      </c>
      <c r="S23" s="11">
        <v>18.795159999999999</v>
      </c>
      <c r="T23" s="7">
        <v>136</v>
      </c>
      <c r="U23" s="6">
        <v>43677</v>
      </c>
      <c r="V23" s="7">
        <v>8660414151</v>
      </c>
      <c r="W23" s="10" t="s">
        <v>105</v>
      </c>
      <c r="X23" s="7" t="s">
        <v>85</v>
      </c>
      <c r="Y23" s="10" t="s">
        <v>86</v>
      </c>
      <c r="Z23" s="7" t="s">
        <v>49</v>
      </c>
      <c r="AA23" s="10" t="s">
        <v>50</v>
      </c>
      <c r="AB23" s="11">
        <f t="shared" si="1"/>
        <v>0.20955789999999999</v>
      </c>
    </row>
    <row r="24" spans="1:28" x14ac:dyDescent="0.35">
      <c r="A24" s="4">
        <v>2963</v>
      </c>
      <c r="B24" s="5" t="s">
        <v>106</v>
      </c>
      <c r="C24" s="6">
        <v>43684</v>
      </c>
      <c r="D24" s="7">
        <v>83</v>
      </c>
      <c r="E24" s="8" t="s">
        <v>42</v>
      </c>
      <c r="F24" s="7" t="s">
        <v>61</v>
      </c>
      <c r="G24" s="10" t="s">
        <v>62</v>
      </c>
      <c r="H24" s="7" t="str">
        <f>"00"</f>
        <v>00</v>
      </c>
      <c r="I24" s="7">
        <v>28</v>
      </c>
      <c r="J24" s="7" t="str">
        <f>"000121"</f>
        <v>000121</v>
      </c>
      <c r="K24" s="6">
        <v>43160</v>
      </c>
      <c r="L24" s="7" t="str">
        <f>"000266"</f>
        <v>000266</v>
      </c>
      <c r="M24" s="6">
        <v>43160</v>
      </c>
      <c r="N24" s="7">
        <v>14</v>
      </c>
      <c r="O24" s="7" t="str">
        <f>"004235"</f>
        <v>004235</v>
      </c>
      <c r="P24" s="6">
        <v>43680</v>
      </c>
      <c r="Q24" s="11">
        <v>25.63841</v>
      </c>
      <c r="R24" s="11">
        <v>3.1107399999999998</v>
      </c>
      <c r="S24" s="11">
        <v>22.527670000000001</v>
      </c>
      <c r="T24" s="7">
        <v>144</v>
      </c>
      <c r="U24" s="6">
        <v>43684</v>
      </c>
      <c r="V24" s="7">
        <v>9663428222</v>
      </c>
      <c r="W24" s="10" t="s">
        <v>63</v>
      </c>
      <c r="X24" s="7" t="s">
        <v>38</v>
      </c>
      <c r="Y24" s="10" t="s">
        <v>39</v>
      </c>
      <c r="Z24" s="7" t="s">
        <v>49</v>
      </c>
      <c r="AA24" s="10" t="s">
        <v>50</v>
      </c>
      <c r="AB24" s="11">
        <f t="shared" si="1"/>
        <v>0.2563841</v>
      </c>
    </row>
    <row r="25" spans="1:28" x14ac:dyDescent="0.35">
      <c r="A25" s="4">
        <v>2964</v>
      </c>
      <c r="B25" s="5" t="s">
        <v>106</v>
      </c>
      <c r="C25" s="6">
        <v>43704</v>
      </c>
      <c r="D25" s="7">
        <v>83</v>
      </c>
      <c r="E25" s="8" t="s">
        <v>42</v>
      </c>
      <c r="F25" s="7" t="s">
        <v>107</v>
      </c>
      <c r="G25" s="10" t="s">
        <v>108</v>
      </c>
      <c r="H25" s="7" t="str">
        <f>"000184"</f>
        <v>000184</v>
      </c>
      <c r="I25" s="6">
        <v>43179</v>
      </c>
      <c r="J25" s="7" t="str">
        <f>"000122"</f>
        <v>000122</v>
      </c>
      <c r="K25" s="6">
        <v>43179</v>
      </c>
      <c r="L25" s="7" t="str">
        <f>"000271"</f>
        <v>000271</v>
      </c>
      <c r="M25" s="6">
        <v>43179</v>
      </c>
      <c r="N25" s="7">
        <v>17</v>
      </c>
      <c r="O25" s="7" t="str">
        <f>"004539"</f>
        <v>004539</v>
      </c>
      <c r="P25" s="6">
        <v>43693</v>
      </c>
      <c r="Q25" s="11">
        <v>20.58755</v>
      </c>
      <c r="R25" s="11">
        <v>2.73637</v>
      </c>
      <c r="S25" s="11">
        <v>17.851179999999999</v>
      </c>
      <c r="T25" s="7">
        <v>166</v>
      </c>
      <c r="U25" s="6">
        <v>43704</v>
      </c>
      <c r="V25" s="7">
        <v>9980728302</v>
      </c>
      <c r="W25" s="10" t="s">
        <v>109</v>
      </c>
      <c r="X25" s="7" t="s">
        <v>110</v>
      </c>
      <c r="Y25" s="10" t="s">
        <v>111</v>
      </c>
      <c r="Z25" s="7" t="s">
        <v>49</v>
      </c>
      <c r="AA25" s="10" t="s">
        <v>50</v>
      </c>
      <c r="AB25" s="11">
        <f t="shared" si="1"/>
        <v>0.20587549999999999</v>
      </c>
    </row>
    <row r="26" spans="1:28" x14ac:dyDescent="0.35">
      <c r="A26" s="4">
        <v>2965</v>
      </c>
      <c r="B26" s="5" t="s">
        <v>106</v>
      </c>
      <c r="C26" s="6">
        <v>43704</v>
      </c>
      <c r="D26" s="7">
        <v>83</v>
      </c>
      <c r="E26" s="8" t="s">
        <v>42</v>
      </c>
      <c r="F26" s="7" t="s">
        <v>112</v>
      </c>
      <c r="G26" s="10" t="s">
        <v>113</v>
      </c>
      <c r="H26" s="7" t="str">
        <f>"000183"</f>
        <v>000183</v>
      </c>
      <c r="I26" s="6">
        <v>43178</v>
      </c>
      <c r="J26" s="7" t="str">
        <f>"000123"</f>
        <v>000123</v>
      </c>
      <c r="K26" s="6">
        <v>43179</v>
      </c>
      <c r="L26" s="7" t="str">
        <f>"000272"</f>
        <v>000272</v>
      </c>
      <c r="M26" s="6">
        <v>43179</v>
      </c>
      <c r="N26" s="7">
        <v>17</v>
      </c>
      <c r="O26" s="7" t="str">
        <f>"004540"</f>
        <v>004540</v>
      </c>
      <c r="P26" s="6">
        <v>43693</v>
      </c>
      <c r="Q26" s="11">
        <v>15.435029999999999</v>
      </c>
      <c r="R26" s="11">
        <v>2.0541499999999999</v>
      </c>
      <c r="S26" s="11">
        <v>13.380879999999999</v>
      </c>
      <c r="T26" s="7">
        <v>166</v>
      </c>
      <c r="U26" s="6">
        <v>43704</v>
      </c>
      <c r="V26" s="7">
        <v>9980728302</v>
      </c>
      <c r="W26" s="10" t="s">
        <v>109</v>
      </c>
      <c r="X26" s="7" t="s">
        <v>110</v>
      </c>
      <c r="Y26" s="10" t="s">
        <v>111</v>
      </c>
      <c r="Z26" s="7" t="s">
        <v>49</v>
      </c>
      <c r="AA26" s="10" t="s">
        <v>50</v>
      </c>
      <c r="AB26" s="11">
        <f t="shared" si="1"/>
        <v>0.1543503</v>
      </c>
    </row>
    <row r="27" spans="1:28" x14ac:dyDescent="0.35">
      <c r="A27" s="4">
        <v>2966</v>
      </c>
      <c r="B27" s="5" t="s">
        <v>114</v>
      </c>
      <c r="C27" s="6">
        <v>43714</v>
      </c>
      <c r="D27" s="7">
        <v>83</v>
      </c>
      <c r="E27" s="8" t="s">
        <v>42</v>
      </c>
      <c r="F27" s="7" t="s">
        <v>115</v>
      </c>
      <c r="G27" s="10" t="s">
        <v>116</v>
      </c>
      <c r="H27" s="7" t="str">
        <f>"000188"</f>
        <v>000188</v>
      </c>
      <c r="I27" s="6">
        <v>43190</v>
      </c>
      <c r="J27" s="7" t="str">
        <f>"000124"</f>
        <v>000124</v>
      </c>
      <c r="K27" s="6">
        <v>43190</v>
      </c>
      <c r="L27" s="7" t="str">
        <f>"000282"</f>
        <v>000282</v>
      </c>
      <c r="M27" s="6">
        <v>43190</v>
      </c>
      <c r="N27" s="7">
        <v>17</v>
      </c>
      <c r="O27" s="7" t="str">
        <f>"004873"</f>
        <v>004873</v>
      </c>
      <c r="P27" s="6">
        <v>43707</v>
      </c>
      <c r="Q27" s="11">
        <v>15.69694</v>
      </c>
      <c r="R27" s="11">
        <v>1.7597100000000001</v>
      </c>
      <c r="S27" s="11">
        <v>13.93723</v>
      </c>
      <c r="T27" s="7">
        <v>175</v>
      </c>
      <c r="U27" s="6">
        <v>43714</v>
      </c>
      <c r="V27" s="7">
        <v>9611508999</v>
      </c>
      <c r="W27" s="10" t="s">
        <v>117</v>
      </c>
      <c r="X27" s="7" t="s">
        <v>32</v>
      </c>
      <c r="Y27" s="10" t="s">
        <v>33</v>
      </c>
      <c r="Z27" s="7" t="s">
        <v>49</v>
      </c>
      <c r="AA27" s="10" t="s">
        <v>50</v>
      </c>
      <c r="AB27" s="11">
        <f t="shared" si="1"/>
        <v>0.15696940000000001</v>
      </c>
    </row>
    <row r="28" spans="1:28" x14ac:dyDescent="0.35">
      <c r="A28" s="4">
        <v>2967</v>
      </c>
      <c r="B28" s="5" t="s">
        <v>114</v>
      </c>
      <c r="C28" s="6">
        <v>43714</v>
      </c>
      <c r="D28" s="7">
        <v>83</v>
      </c>
      <c r="E28" s="8" t="s">
        <v>42</v>
      </c>
      <c r="F28" s="7" t="s">
        <v>118</v>
      </c>
      <c r="G28" s="10" t="s">
        <v>119</v>
      </c>
      <c r="H28" s="7" t="str">
        <f>"000189"</f>
        <v>000189</v>
      </c>
      <c r="I28" s="6">
        <v>43190</v>
      </c>
      <c r="J28" s="7" t="str">
        <f>"000125"</f>
        <v>000125</v>
      </c>
      <c r="K28" s="6">
        <v>43190</v>
      </c>
      <c r="L28" s="7" t="str">
        <f>"000283"</f>
        <v>000283</v>
      </c>
      <c r="M28" s="6">
        <v>43190</v>
      </c>
      <c r="N28" s="7">
        <v>17</v>
      </c>
      <c r="O28" s="7" t="str">
        <f>"004874"</f>
        <v>004874</v>
      </c>
      <c r="P28" s="6">
        <v>43707</v>
      </c>
      <c r="Q28" s="11">
        <v>15.583</v>
      </c>
      <c r="R28" s="11">
        <v>1.7492099999999999</v>
      </c>
      <c r="S28" s="11">
        <v>13.83379</v>
      </c>
      <c r="T28" s="7">
        <v>175</v>
      </c>
      <c r="U28" s="6">
        <v>43714</v>
      </c>
      <c r="V28" s="7">
        <v>9611508999</v>
      </c>
      <c r="W28" s="10" t="s">
        <v>117</v>
      </c>
      <c r="X28" s="7" t="s">
        <v>32</v>
      </c>
      <c r="Y28" s="10" t="s">
        <v>33</v>
      </c>
      <c r="Z28" s="7" t="s">
        <v>49</v>
      </c>
      <c r="AA28" s="10" t="s">
        <v>50</v>
      </c>
      <c r="AB28" s="11">
        <f t="shared" si="1"/>
        <v>0.15583</v>
      </c>
    </row>
    <row r="29" spans="1:28" x14ac:dyDescent="0.35">
      <c r="A29" s="4">
        <v>2968</v>
      </c>
      <c r="B29" s="5" t="s">
        <v>114</v>
      </c>
      <c r="C29" s="6">
        <v>43714</v>
      </c>
      <c r="D29" s="7">
        <v>83</v>
      </c>
      <c r="E29" s="8" t="s">
        <v>42</v>
      </c>
      <c r="F29" s="7" t="s">
        <v>120</v>
      </c>
      <c r="G29" s="10" t="s">
        <v>121</v>
      </c>
      <c r="H29" s="7" t="str">
        <f>"000190"</f>
        <v>000190</v>
      </c>
      <c r="I29" s="6">
        <v>43190</v>
      </c>
      <c r="J29" s="7" t="str">
        <f>"000126"</f>
        <v>000126</v>
      </c>
      <c r="K29" s="6">
        <v>43190</v>
      </c>
      <c r="L29" s="7" t="str">
        <f>"000284"</f>
        <v>000284</v>
      </c>
      <c r="M29" s="6">
        <v>43190</v>
      </c>
      <c r="N29" s="7">
        <v>17</v>
      </c>
      <c r="O29" s="7" t="str">
        <f>"004875"</f>
        <v>004875</v>
      </c>
      <c r="P29" s="6">
        <v>43707</v>
      </c>
      <c r="Q29" s="11">
        <v>20.78144</v>
      </c>
      <c r="R29" s="11">
        <v>2.3326500000000001</v>
      </c>
      <c r="S29" s="11">
        <v>18.448789999999999</v>
      </c>
      <c r="T29" s="7">
        <v>175</v>
      </c>
      <c r="U29" s="6">
        <v>43714</v>
      </c>
      <c r="V29" s="7">
        <v>9611508999</v>
      </c>
      <c r="W29" s="10" t="s">
        <v>117</v>
      </c>
      <c r="X29" s="7" t="s">
        <v>32</v>
      </c>
      <c r="Y29" s="10" t="s">
        <v>33</v>
      </c>
      <c r="Z29" s="7" t="s">
        <v>49</v>
      </c>
      <c r="AA29" s="10" t="s">
        <v>50</v>
      </c>
      <c r="AB29" s="11">
        <f t="shared" si="1"/>
        <v>0.20781440000000001</v>
      </c>
    </row>
    <row r="30" spans="1:28" x14ac:dyDescent="0.35">
      <c r="A30" s="4">
        <v>2969</v>
      </c>
      <c r="B30" s="5" t="s">
        <v>114</v>
      </c>
      <c r="C30" s="6">
        <v>43729</v>
      </c>
      <c r="D30" s="7">
        <v>83</v>
      </c>
      <c r="E30" s="8" t="s">
        <v>42</v>
      </c>
      <c r="F30" s="7" t="s">
        <v>122</v>
      </c>
      <c r="G30" s="10" t="s">
        <v>123</v>
      </c>
      <c r="H30" s="7" t="str">
        <f>"000002"</f>
        <v>000002</v>
      </c>
      <c r="I30" s="6">
        <v>43199</v>
      </c>
      <c r="J30" s="7" t="str">
        <f>"000002"</f>
        <v>000002</v>
      </c>
      <c r="K30" s="6">
        <v>43199</v>
      </c>
      <c r="L30" s="7" t="str">
        <f>"000003"</f>
        <v>000003</v>
      </c>
      <c r="M30" s="6">
        <v>43199</v>
      </c>
      <c r="N30" s="7">
        <v>17</v>
      </c>
      <c r="O30" s="7" t="str">
        <f>"004984"</f>
        <v>004984</v>
      </c>
      <c r="P30" s="6">
        <v>43717</v>
      </c>
      <c r="Q30" s="11">
        <v>20.658580000000001</v>
      </c>
      <c r="R30" s="11">
        <v>2.3332899999999999</v>
      </c>
      <c r="S30" s="11">
        <v>18.325289999999999</v>
      </c>
      <c r="T30" s="7">
        <v>194</v>
      </c>
      <c r="U30" s="6">
        <v>43729</v>
      </c>
      <c r="V30" s="7">
        <v>9448042867</v>
      </c>
      <c r="W30" s="10" t="s">
        <v>124</v>
      </c>
      <c r="X30" s="7" t="s">
        <v>32</v>
      </c>
      <c r="Y30" s="10" t="s">
        <v>33</v>
      </c>
      <c r="Z30" s="7" t="s">
        <v>49</v>
      </c>
      <c r="AA30" s="10" t="s">
        <v>50</v>
      </c>
      <c r="AB30" s="11">
        <f t="shared" si="1"/>
        <v>0.20658580000000001</v>
      </c>
    </row>
    <row r="31" spans="1:28" x14ac:dyDescent="0.35">
      <c r="A31" s="4">
        <v>2970</v>
      </c>
      <c r="B31" s="5" t="s">
        <v>114</v>
      </c>
      <c r="C31" s="6">
        <v>43729</v>
      </c>
      <c r="D31" s="7">
        <v>83</v>
      </c>
      <c r="E31" s="8" t="s">
        <v>42</v>
      </c>
      <c r="F31" s="7" t="s">
        <v>125</v>
      </c>
      <c r="G31" s="10" t="s">
        <v>126</v>
      </c>
      <c r="H31" s="7" t="str">
        <f>"000003"</f>
        <v>000003</v>
      </c>
      <c r="I31" s="6">
        <v>43199</v>
      </c>
      <c r="J31" s="7" t="str">
        <f>"000004"</f>
        <v>000004</v>
      </c>
      <c r="K31" s="6">
        <v>43199</v>
      </c>
      <c r="L31" s="7" t="str">
        <f>"000005"</f>
        <v>000005</v>
      </c>
      <c r="M31" s="6">
        <v>43199</v>
      </c>
      <c r="N31" s="7">
        <v>17</v>
      </c>
      <c r="O31" s="7" t="str">
        <f>"004986"</f>
        <v>004986</v>
      </c>
      <c r="P31" s="6">
        <v>43717</v>
      </c>
      <c r="Q31" s="11">
        <v>27.485209999999999</v>
      </c>
      <c r="R31" s="11">
        <v>3.15611</v>
      </c>
      <c r="S31" s="11">
        <v>24.3291</v>
      </c>
      <c r="T31" s="7">
        <v>194</v>
      </c>
      <c r="U31" s="6">
        <v>43729</v>
      </c>
      <c r="V31" s="7">
        <v>9980728302</v>
      </c>
      <c r="W31" s="10" t="s">
        <v>109</v>
      </c>
      <c r="X31" s="7" t="s">
        <v>110</v>
      </c>
      <c r="Y31" s="10" t="s">
        <v>111</v>
      </c>
      <c r="Z31" s="7" t="s">
        <v>49</v>
      </c>
      <c r="AA31" s="10" t="s">
        <v>50</v>
      </c>
      <c r="AB31" s="11">
        <f t="shared" si="1"/>
        <v>0.27485209999999999</v>
      </c>
    </row>
    <row r="32" spans="1:28" x14ac:dyDescent="0.35">
      <c r="A32" s="4">
        <v>2971</v>
      </c>
      <c r="B32" s="5" t="s">
        <v>114</v>
      </c>
      <c r="C32" s="6">
        <v>43729</v>
      </c>
      <c r="D32" s="7">
        <v>83</v>
      </c>
      <c r="E32" s="8" t="s">
        <v>42</v>
      </c>
      <c r="F32" s="7" t="s">
        <v>125</v>
      </c>
      <c r="G32" s="10" t="s">
        <v>126</v>
      </c>
      <c r="H32" s="7" t="str">
        <f>"000003"</f>
        <v>000003</v>
      </c>
      <c r="I32" s="6">
        <v>43199</v>
      </c>
      <c r="J32" s="7" t="str">
        <f>"000004"</f>
        <v>000004</v>
      </c>
      <c r="K32" s="6">
        <v>43199</v>
      </c>
      <c r="L32" s="7" t="str">
        <f>"000005"</f>
        <v>000005</v>
      </c>
      <c r="M32" s="6">
        <v>43199</v>
      </c>
      <c r="N32" s="7">
        <v>17</v>
      </c>
      <c r="O32" s="7" t="str">
        <f>"004986"</f>
        <v>004986</v>
      </c>
      <c r="P32" s="6">
        <v>43717</v>
      </c>
      <c r="Q32" s="11">
        <v>14.29391</v>
      </c>
      <c r="R32" s="11">
        <v>1.5992900000000001</v>
      </c>
      <c r="S32" s="11">
        <v>12.69462</v>
      </c>
      <c r="T32" s="7">
        <v>194</v>
      </c>
      <c r="U32" s="6">
        <v>43729</v>
      </c>
      <c r="V32" s="7">
        <v>9980728302</v>
      </c>
      <c r="W32" s="10" t="s">
        <v>109</v>
      </c>
      <c r="X32" s="7" t="s">
        <v>110</v>
      </c>
      <c r="Y32" s="10" t="s">
        <v>111</v>
      </c>
      <c r="Z32" s="7" t="s">
        <v>49</v>
      </c>
      <c r="AA32" s="10" t="s">
        <v>50</v>
      </c>
      <c r="AB32" s="11">
        <f t="shared" si="1"/>
        <v>0.14293910000000001</v>
      </c>
    </row>
    <row r="33" spans="1:28" x14ac:dyDescent="0.35">
      <c r="A33" s="4">
        <v>2972</v>
      </c>
      <c r="B33" s="5" t="s">
        <v>114</v>
      </c>
      <c r="C33" s="6">
        <v>43732</v>
      </c>
      <c r="D33" s="7">
        <v>83</v>
      </c>
      <c r="E33" s="8" t="s">
        <v>42</v>
      </c>
      <c r="F33" s="7" t="s">
        <v>127</v>
      </c>
      <c r="G33" s="10" t="s">
        <v>128</v>
      </c>
      <c r="H33" s="7" t="str">
        <f>"000213"</f>
        <v>000213</v>
      </c>
      <c r="I33" s="6">
        <v>42460</v>
      </c>
      <c r="J33" s="7" t="str">
        <f>"000286"</f>
        <v>000286</v>
      </c>
      <c r="K33" s="6">
        <v>42816</v>
      </c>
      <c r="L33" s="7" t="str">
        <f>"000699"</f>
        <v>000699</v>
      </c>
      <c r="M33" s="6">
        <v>42825</v>
      </c>
      <c r="N33" s="7">
        <v>17</v>
      </c>
      <c r="O33" s="7" t="str">
        <f>"006026"</f>
        <v>006026</v>
      </c>
      <c r="P33" s="6">
        <v>42998</v>
      </c>
      <c r="Q33" s="11">
        <v>6.55511</v>
      </c>
      <c r="R33" s="11">
        <v>0.60963000000000001</v>
      </c>
      <c r="S33" s="11">
        <v>5.9454799999999999</v>
      </c>
      <c r="T33" s="7">
        <v>199</v>
      </c>
      <c r="U33" s="6">
        <v>43732</v>
      </c>
      <c r="V33" s="7">
        <v>9611499499</v>
      </c>
      <c r="W33" s="10" t="s">
        <v>129</v>
      </c>
      <c r="X33" s="7" t="s">
        <v>32</v>
      </c>
      <c r="Y33" s="10" t="s">
        <v>33</v>
      </c>
      <c r="Z33" s="7" t="s">
        <v>49</v>
      </c>
      <c r="AA33" s="10" t="s">
        <v>50</v>
      </c>
      <c r="AB33" s="11">
        <f t="shared" si="1"/>
        <v>6.5551100000000001E-2</v>
      </c>
    </row>
    <row r="34" spans="1:28" x14ac:dyDescent="0.35">
      <c r="A34" s="4">
        <v>2973</v>
      </c>
      <c r="B34" s="5" t="s">
        <v>114</v>
      </c>
      <c r="C34" s="6">
        <v>43732</v>
      </c>
      <c r="D34" s="7">
        <v>83</v>
      </c>
      <c r="E34" s="8" t="s">
        <v>42</v>
      </c>
      <c r="F34" s="7" t="s">
        <v>130</v>
      </c>
      <c r="G34" s="10" t="s">
        <v>131</v>
      </c>
      <c r="H34" s="7" t="str">
        <f>"000005"</f>
        <v>000005</v>
      </c>
      <c r="I34" s="6">
        <v>43201</v>
      </c>
      <c r="J34" s="7" t="str">
        <f>"000006"</f>
        <v>000006</v>
      </c>
      <c r="K34" s="6">
        <v>43201</v>
      </c>
      <c r="L34" s="7" t="str">
        <f>"000008"</f>
        <v>000008</v>
      </c>
      <c r="M34" s="6">
        <v>43201</v>
      </c>
      <c r="N34" s="7">
        <v>17</v>
      </c>
      <c r="O34" s="7" t="str">
        <f>"005243"</f>
        <v>005243</v>
      </c>
      <c r="P34" s="6">
        <v>43728</v>
      </c>
      <c r="Q34" s="11">
        <v>18.8414</v>
      </c>
      <c r="R34" s="11">
        <v>2.0322399999999998</v>
      </c>
      <c r="S34" s="11">
        <v>16.809159999999999</v>
      </c>
      <c r="T34" s="7">
        <v>199</v>
      </c>
      <c r="U34" s="6">
        <v>43732</v>
      </c>
      <c r="V34" s="7">
        <v>9611499499</v>
      </c>
      <c r="W34" s="10" t="s">
        <v>129</v>
      </c>
      <c r="X34" s="7" t="s">
        <v>32</v>
      </c>
      <c r="Y34" s="10" t="s">
        <v>33</v>
      </c>
      <c r="Z34" s="7" t="s">
        <v>49</v>
      </c>
      <c r="AA34" s="10" t="s">
        <v>50</v>
      </c>
      <c r="AB34" s="11">
        <f t="shared" si="1"/>
        <v>0.188414</v>
      </c>
    </row>
    <row r="35" spans="1:28" x14ac:dyDescent="0.35">
      <c r="A35" s="4">
        <v>2974</v>
      </c>
      <c r="B35" s="5" t="s">
        <v>132</v>
      </c>
      <c r="C35" s="6">
        <v>43748</v>
      </c>
      <c r="D35" s="4">
        <v>83</v>
      </c>
      <c r="E35" s="8" t="s">
        <v>42</v>
      </c>
      <c r="F35" s="7" t="s">
        <v>51</v>
      </c>
      <c r="G35" s="8" t="s">
        <v>52</v>
      </c>
      <c r="H35" s="7" t="str">
        <f>"000013"</f>
        <v>000013</v>
      </c>
      <c r="I35" s="6">
        <v>42625</v>
      </c>
      <c r="J35" s="7" t="str">
        <f>"000060"</f>
        <v>000060</v>
      </c>
      <c r="K35" s="6">
        <v>43813</v>
      </c>
      <c r="L35" s="7" t="str">
        <f>"000059"</f>
        <v>000059</v>
      </c>
      <c r="M35" s="6">
        <v>43813</v>
      </c>
      <c r="N35" s="7">
        <v>16</v>
      </c>
      <c r="O35" s="7" t="str">
        <f>""</f>
        <v/>
      </c>
      <c r="P35" s="6"/>
      <c r="Q35" s="9">
        <v>7.2388000000000003</v>
      </c>
      <c r="R35" s="9">
        <v>0.92854999999999999</v>
      </c>
      <c r="S35" s="9">
        <v>6.3102499999999999</v>
      </c>
      <c r="T35" s="7">
        <v>13</v>
      </c>
      <c r="U35" s="6">
        <v>43748</v>
      </c>
      <c r="V35" s="7">
        <v>9845194409</v>
      </c>
      <c r="W35" s="8" t="s">
        <v>53</v>
      </c>
      <c r="X35" s="7" t="s">
        <v>29</v>
      </c>
      <c r="Y35" s="8" t="s">
        <v>30</v>
      </c>
      <c r="Z35" s="7" t="s">
        <v>40</v>
      </c>
      <c r="AA35" s="8" t="s">
        <v>41</v>
      </c>
      <c r="AB35" s="9">
        <v>7.2388000000000008E-2</v>
      </c>
    </row>
    <row r="36" spans="1:28" x14ac:dyDescent="0.35">
      <c r="A36" s="4">
        <v>2975</v>
      </c>
      <c r="B36" s="5" t="s">
        <v>132</v>
      </c>
      <c r="C36" s="6">
        <v>43752</v>
      </c>
      <c r="D36" s="4">
        <v>83</v>
      </c>
      <c r="E36" s="8" t="s">
        <v>42</v>
      </c>
      <c r="F36" s="7" t="s">
        <v>133</v>
      </c>
      <c r="G36" s="8" t="s">
        <v>134</v>
      </c>
      <c r="H36" s="7" t="str">
        <f>"000072"</f>
        <v>000072</v>
      </c>
      <c r="I36" s="6">
        <v>43641</v>
      </c>
      <c r="J36" s="7" t="str">
        <f>"000037"</f>
        <v>000037</v>
      </c>
      <c r="K36" s="6">
        <v>43701</v>
      </c>
      <c r="L36" s="7" t="str">
        <f>"000112"</f>
        <v>000112</v>
      </c>
      <c r="M36" s="6">
        <v>43701</v>
      </c>
      <c r="N36" s="7">
        <v>19</v>
      </c>
      <c r="O36" s="7" t="str">
        <f>"005671"</f>
        <v>005671</v>
      </c>
      <c r="P36" s="6">
        <v>43748</v>
      </c>
      <c r="Q36" s="9">
        <v>2.3043999999999998</v>
      </c>
      <c r="R36" s="9">
        <v>0.20935000000000001</v>
      </c>
      <c r="S36" s="9">
        <v>2.0950500000000001</v>
      </c>
      <c r="T36" s="7">
        <v>13</v>
      </c>
      <c r="U36" s="6">
        <v>43752</v>
      </c>
      <c r="V36" s="7">
        <v>9739957937</v>
      </c>
      <c r="W36" s="8" t="s">
        <v>135</v>
      </c>
      <c r="X36" s="7" t="s">
        <v>136</v>
      </c>
      <c r="Y36" s="8" t="s">
        <v>137</v>
      </c>
      <c r="Z36" s="7" t="s">
        <v>49</v>
      </c>
      <c r="AA36" s="8" t="s">
        <v>50</v>
      </c>
      <c r="AB36" s="9">
        <v>2.3043999999999999E-2</v>
      </c>
    </row>
    <row r="37" spans="1:28" x14ac:dyDescent="0.35">
      <c r="A37" s="4">
        <v>2976</v>
      </c>
      <c r="B37" s="5" t="s">
        <v>132</v>
      </c>
      <c r="C37" s="6">
        <v>43752</v>
      </c>
      <c r="D37" s="4">
        <v>83</v>
      </c>
      <c r="E37" s="8" t="s">
        <v>42</v>
      </c>
      <c r="F37" s="7" t="s">
        <v>138</v>
      </c>
      <c r="G37" s="8" t="s">
        <v>139</v>
      </c>
      <c r="H37" s="7" t="str">
        <f>"000071"</f>
        <v>000071</v>
      </c>
      <c r="I37" s="6">
        <v>43641</v>
      </c>
      <c r="J37" s="7" t="str">
        <f>"000038"</f>
        <v>000038</v>
      </c>
      <c r="K37" s="6">
        <v>43701</v>
      </c>
      <c r="L37" s="7" t="str">
        <f>"000113"</f>
        <v>000113</v>
      </c>
      <c r="M37" s="6">
        <v>43701</v>
      </c>
      <c r="N37" s="7">
        <v>19</v>
      </c>
      <c r="O37" s="7" t="str">
        <f>"005672"</f>
        <v>005672</v>
      </c>
      <c r="P37" s="6">
        <v>43748</v>
      </c>
      <c r="Q37" s="9">
        <v>4.7365599999999999</v>
      </c>
      <c r="R37" s="9">
        <v>0.44746999999999998</v>
      </c>
      <c r="S37" s="9">
        <v>4.2890899999999998</v>
      </c>
      <c r="T37" s="7">
        <v>13</v>
      </c>
      <c r="U37" s="6">
        <v>43752</v>
      </c>
      <c r="V37" s="7">
        <v>9739957937</v>
      </c>
      <c r="W37" s="8" t="s">
        <v>140</v>
      </c>
      <c r="X37" s="7" t="s">
        <v>141</v>
      </c>
      <c r="Y37" s="8" t="s">
        <v>142</v>
      </c>
      <c r="Z37" s="7" t="s">
        <v>49</v>
      </c>
      <c r="AA37" s="8" t="s">
        <v>50</v>
      </c>
      <c r="AB37" s="9">
        <v>4.7365600000000001E-2</v>
      </c>
    </row>
    <row r="38" spans="1:28" x14ac:dyDescent="0.35">
      <c r="A38" s="4">
        <v>2977</v>
      </c>
      <c r="B38" s="5" t="s">
        <v>132</v>
      </c>
      <c r="C38" s="6">
        <v>43752</v>
      </c>
      <c r="D38" s="4">
        <v>83</v>
      </c>
      <c r="E38" s="8" t="s">
        <v>42</v>
      </c>
      <c r="F38" s="7" t="s">
        <v>143</v>
      </c>
      <c r="G38" s="8" t="s">
        <v>144</v>
      </c>
      <c r="H38" s="7" t="str">
        <f>"000073"</f>
        <v>000073</v>
      </c>
      <c r="I38" s="6">
        <v>43641</v>
      </c>
      <c r="J38" s="7" t="str">
        <f>"000039"</f>
        <v>000039</v>
      </c>
      <c r="K38" s="6">
        <v>43701</v>
      </c>
      <c r="L38" s="7" t="str">
        <f>"000114"</f>
        <v>000114</v>
      </c>
      <c r="M38" s="6">
        <v>43701</v>
      </c>
      <c r="N38" s="7">
        <v>19</v>
      </c>
      <c r="O38" s="7" t="str">
        <f>"005674"</f>
        <v>005674</v>
      </c>
      <c r="P38" s="6">
        <v>43748</v>
      </c>
      <c r="Q38" s="9">
        <v>7.0330399999999997</v>
      </c>
      <c r="R38" s="9">
        <v>0.63893</v>
      </c>
      <c r="S38" s="9">
        <v>6.3941100000000004</v>
      </c>
      <c r="T38" s="7">
        <v>13</v>
      </c>
      <c r="U38" s="6">
        <v>43752</v>
      </c>
      <c r="V38" s="7">
        <v>9739957937</v>
      </c>
      <c r="W38" s="8" t="s">
        <v>145</v>
      </c>
      <c r="X38" s="7" t="s">
        <v>146</v>
      </c>
      <c r="Y38" s="8" t="s">
        <v>147</v>
      </c>
      <c r="Z38" s="7" t="s">
        <v>49</v>
      </c>
      <c r="AA38" s="8" t="s">
        <v>50</v>
      </c>
      <c r="AB38" s="9">
        <v>7.0330400000000001E-2</v>
      </c>
    </row>
    <row r="39" spans="1:28" x14ac:dyDescent="0.35">
      <c r="A39" s="4">
        <v>2978</v>
      </c>
      <c r="B39" s="5" t="s">
        <v>148</v>
      </c>
      <c r="C39" s="6">
        <v>43788</v>
      </c>
      <c r="D39" s="4">
        <v>83</v>
      </c>
      <c r="E39" s="8" t="s">
        <v>42</v>
      </c>
      <c r="F39" s="7" t="s">
        <v>127</v>
      </c>
      <c r="G39" s="8" t="s">
        <v>128</v>
      </c>
      <c r="H39" s="7" t="str">
        <f>"000213"</f>
        <v>000213</v>
      </c>
      <c r="I39" s="6">
        <v>42460</v>
      </c>
      <c r="J39" s="7" t="str">
        <f>"000286"</f>
        <v>000286</v>
      </c>
      <c r="K39" s="6">
        <v>42816</v>
      </c>
      <c r="L39" s="7" t="str">
        <f>"000699"</f>
        <v>000699</v>
      </c>
      <c r="M39" s="6">
        <v>42825</v>
      </c>
      <c r="N39" s="7">
        <v>17</v>
      </c>
      <c r="O39" s="7" t="str">
        <f>"006026"</f>
        <v>006026</v>
      </c>
      <c r="P39" s="6">
        <v>42998</v>
      </c>
      <c r="Q39" s="9">
        <v>8.0792999999999999</v>
      </c>
      <c r="R39" s="9">
        <v>0.92101999999999995</v>
      </c>
      <c r="S39" s="9">
        <v>7.1582800000000004</v>
      </c>
      <c r="T39" s="7">
        <v>13</v>
      </c>
      <c r="U39" s="6">
        <v>43788</v>
      </c>
      <c r="V39" s="7">
        <v>8951120986</v>
      </c>
      <c r="W39" s="8" t="s">
        <v>149</v>
      </c>
      <c r="X39" s="7" t="s">
        <v>32</v>
      </c>
      <c r="Y39" s="8" t="s">
        <v>33</v>
      </c>
      <c r="Z39" s="7" t="s">
        <v>49</v>
      </c>
      <c r="AA39" s="8" t="s">
        <v>50</v>
      </c>
      <c r="AB39" s="9">
        <v>8.0793000000000004E-2</v>
      </c>
    </row>
    <row r="40" spans="1:28" x14ac:dyDescent="0.35">
      <c r="A40" s="4">
        <v>2979</v>
      </c>
      <c r="B40" s="5" t="s">
        <v>150</v>
      </c>
      <c r="C40" s="6">
        <v>43816</v>
      </c>
      <c r="D40" s="4">
        <v>83</v>
      </c>
      <c r="E40" s="8" t="s">
        <v>42</v>
      </c>
      <c r="F40" s="7" t="s">
        <v>151</v>
      </c>
      <c r="G40" s="8" t="s">
        <v>152</v>
      </c>
      <c r="H40" s="7" t="str">
        <f>"000093"</f>
        <v>000093</v>
      </c>
      <c r="I40" s="6">
        <v>43372</v>
      </c>
      <c r="J40" s="7" t="str">
        <f>"000058"</f>
        <v>000058</v>
      </c>
      <c r="K40" s="6">
        <v>43372</v>
      </c>
      <c r="L40" s="7" t="str">
        <f>"000153"</f>
        <v>000153</v>
      </c>
      <c r="M40" s="6">
        <v>43372</v>
      </c>
      <c r="N40" s="7">
        <v>18</v>
      </c>
      <c r="O40" s="7" t="str">
        <f>"006822"</f>
        <v>006822</v>
      </c>
      <c r="P40" s="6">
        <v>43815</v>
      </c>
      <c r="Q40" s="9">
        <v>31.998709999999999</v>
      </c>
      <c r="R40" s="9">
        <v>3.29583</v>
      </c>
      <c r="S40" s="9">
        <v>28.70288</v>
      </c>
      <c r="T40" s="7">
        <v>13</v>
      </c>
      <c r="U40" s="6">
        <v>43816</v>
      </c>
      <c r="V40" s="7">
        <v>9741852266</v>
      </c>
      <c r="W40" s="8" t="s">
        <v>153</v>
      </c>
      <c r="X40" s="7" t="s">
        <v>85</v>
      </c>
      <c r="Y40" s="8" t="s">
        <v>86</v>
      </c>
      <c r="Z40" s="7" t="s">
        <v>49</v>
      </c>
      <c r="AA40" s="8" t="s">
        <v>50</v>
      </c>
      <c r="AB40" s="9">
        <v>0.31998709999999997</v>
      </c>
    </row>
    <row r="41" spans="1:28" x14ac:dyDescent="0.35">
      <c r="A41" s="4">
        <v>2980</v>
      </c>
      <c r="B41" s="5" t="s">
        <v>150</v>
      </c>
      <c r="C41" s="6">
        <v>43820</v>
      </c>
      <c r="D41" s="4">
        <v>83</v>
      </c>
      <c r="E41" s="8" t="s">
        <v>42</v>
      </c>
      <c r="F41" s="7" t="s">
        <v>154</v>
      </c>
      <c r="G41" s="8" t="s">
        <v>155</v>
      </c>
      <c r="H41" s="7" t="str">
        <f>"000385"</f>
        <v>000385</v>
      </c>
      <c r="I41" s="6">
        <v>43708</v>
      </c>
      <c r="J41" s="7" t="str">
        <f>"000067"</f>
        <v>000067</v>
      </c>
      <c r="K41" s="6">
        <v>43791</v>
      </c>
      <c r="L41" s="7" t="str">
        <f>"000207"</f>
        <v>000207</v>
      </c>
      <c r="M41" s="6">
        <v>43795</v>
      </c>
      <c r="N41" s="7">
        <v>19</v>
      </c>
      <c r="O41" s="7" t="str">
        <f>"006892"</f>
        <v>006892</v>
      </c>
      <c r="P41" s="6">
        <v>43819</v>
      </c>
      <c r="Q41" s="9">
        <v>6.9782500000000001</v>
      </c>
      <c r="R41" s="9">
        <v>0.73509000000000002</v>
      </c>
      <c r="S41" s="9">
        <v>6.2431599999999996</v>
      </c>
      <c r="T41" s="7">
        <v>13</v>
      </c>
      <c r="U41" s="6">
        <v>43820</v>
      </c>
      <c r="V41" s="7">
        <v>9880856462</v>
      </c>
      <c r="W41" s="8" t="s">
        <v>156</v>
      </c>
      <c r="X41" s="7" t="s">
        <v>157</v>
      </c>
      <c r="Y41" s="8" t="s">
        <v>158</v>
      </c>
      <c r="Z41" s="7" t="s">
        <v>49</v>
      </c>
      <c r="AA41" s="8" t="s">
        <v>50</v>
      </c>
      <c r="AB41" s="9">
        <v>6.9782499999999997E-2</v>
      </c>
    </row>
    <row r="42" spans="1:28" x14ac:dyDescent="0.35">
      <c r="A42" s="4">
        <v>2981</v>
      </c>
      <c r="B42" s="5" t="s">
        <v>150</v>
      </c>
      <c r="C42" s="6">
        <v>43826</v>
      </c>
      <c r="D42" s="4">
        <v>83</v>
      </c>
      <c r="E42" s="8" t="s">
        <v>42</v>
      </c>
      <c r="F42" s="7" t="s">
        <v>159</v>
      </c>
      <c r="G42" s="8" t="s">
        <v>160</v>
      </c>
      <c r="H42" s="7" t="str">
        <f>"000449"</f>
        <v>000449</v>
      </c>
      <c r="I42" s="6">
        <v>43781</v>
      </c>
      <c r="J42" s="7" t="str">
        <f>"000066"</f>
        <v>000066</v>
      </c>
      <c r="K42" s="6">
        <v>43781</v>
      </c>
      <c r="L42" s="7" t="str">
        <f>"000198"</f>
        <v>000198</v>
      </c>
      <c r="M42" s="6">
        <v>43781</v>
      </c>
      <c r="N42" s="7">
        <v>19</v>
      </c>
      <c r="O42" s="7" t="str">
        <f>"006919"</f>
        <v>006919</v>
      </c>
      <c r="P42" s="6">
        <v>43820</v>
      </c>
      <c r="Q42" s="9">
        <v>59.600180000000002</v>
      </c>
      <c r="R42" s="9">
        <v>4.0401999999999996</v>
      </c>
      <c r="S42" s="9">
        <v>55.559980000000003</v>
      </c>
      <c r="T42" s="7">
        <v>13</v>
      </c>
      <c r="U42" s="6">
        <v>43826</v>
      </c>
      <c r="V42" s="7">
        <v>9880398035</v>
      </c>
      <c r="W42" s="8" t="s">
        <v>161</v>
      </c>
      <c r="X42" s="7" t="s">
        <v>162</v>
      </c>
      <c r="Y42" s="8" t="s">
        <v>163</v>
      </c>
      <c r="Z42" s="7" t="s">
        <v>49</v>
      </c>
      <c r="AA42" s="8" t="s">
        <v>50</v>
      </c>
      <c r="AB42" s="9">
        <v>0.59600180000000003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2020-01-28T12:03:27Z</dcterms:modified>
</cp:coreProperties>
</file>