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1" i="1" l="1"/>
  <c r="L31" i="1"/>
  <c r="J31" i="1"/>
  <c r="H31" i="1"/>
  <c r="O30" i="1"/>
  <c r="L30" i="1"/>
  <c r="J30" i="1"/>
  <c r="H30" i="1"/>
  <c r="O29" i="1"/>
  <c r="L29" i="1"/>
  <c r="J29" i="1"/>
  <c r="H29" i="1"/>
  <c r="O28" i="1"/>
  <c r="L28" i="1"/>
  <c r="J28" i="1"/>
  <c r="H28"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O14" i="1"/>
  <c r="L14" i="1"/>
  <c r="J14" i="1"/>
  <c r="H14"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<sst xmlns="http://schemas.openxmlformats.org/spreadsheetml/2006/main" count="298" uniqueCount="138">
  <si>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</si>
  <si>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</si>
  <si>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</si>
  <si>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</si>
  <si>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</si>
  <si>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</si>
  <si>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</si>
  <si>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</si>
  <si>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</si>
  <si>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</si>
  <si>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</si>
  <si>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</si>
  <si>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</si>
  <si>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</si>
  <si>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</si>
  <si>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</si>
  <si>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</si>
  <si>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</si>
  <si>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</si>
  <si>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</si>
  <si>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</si>
  <si>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</si>
  <si>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</si>
  <si>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</si>
  <si>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</si>
  <si>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</si>
  <si>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</si>
  <si>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</si>
  <si>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</si>
  <si>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P1802</t>
  </si>
  <si>
    <t>Water Supply New Areas</t>
  </si>
  <si>
    <t>P0300</t>
  </si>
  <si>
    <t>M and R to Street Lights - Replacement of Burnt Bulbs etc. (Package)</t>
  </si>
  <si>
    <t>ddo617</t>
  </si>
  <si>
    <t xml:space="preserve"> Executive Engineer Electrical Yelhanka Zone</t>
  </si>
  <si>
    <t>ddo235</t>
  </si>
  <si>
    <t xml:space="preserve"> Assistant Executive Engineer Project-1 Yelahanka Zone</t>
  </si>
  <si>
    <t>June</t>
  </si>
  <si>
    <t>P1771</t>
  </si>
  <si>
    <t>Zone Works - POW Works</t>
  </si>
  <si>
    <t>May</t>
  </si>
  <si>
    <t>Sri.Karthik Rechan R</t>
  </si>
  <si>
    <t>P3089</t>
  </si>
  <si>
    <t>Special Development works in 7 CMC and 1 TMC area in BBMP</t>
  </si>
  <si>
    <t>P3106</t>
  </si>
  <si>
    <t>Nagarothana Works</t>
  </si>
  <si>
    <t>Technical Manger</t>
  </si>
  <si>
    <t>P3290</t>
  </si>
  <si>
    <t>14th Finance Commission Works - Providing Street Lights and Maintenance</t>
  </si>
  <si>
    <t>P3293</t>
  </si>
  <si>
    <t>14th Finance Commission Works - Drinking Water</t>
  </si>
  <si>
    <t>Vidyaranya Pura</t>
  </si>
  <si>
    <t>009-18-000017</t>
  </si>
  <si>
    <t>Drilling of borewells providing pump motor and commissioning at Thindlu, Virupakshapura, Doddabommasandra, Vidyaranyapura and HMT Layout surrounding in ward No. 9</t>
  </si>
  <si>
    <t>KRIDL</t>
  </si>
  <si>
    <t>ddo476</t>
  </si>
  <si>
    <t xml:space="preserve"> Assistant Executive Engineer Vidyaranyapura Yelhanka Zone</t>
  </si>
  <si>
    <t>009-18-000012</t>
  </si>
  <si>
    <t>Drilling of borewells Providing pump motor and commissining to borewells in ward no 09 (Vidyaranyapura) Vidyaranyapura sub Division</t>
  </si>
  <si>
    <t>Executive Engineer Karnataka Rural Infrastructure Development Ltd</t>
  </si>
  <si>
    <t>009-16-000013</t>
  </si>
  <si>
    <t>Operation and maintenance of Street lights in Vidyaranyapura Ward W No 9Package Y 9</t>
  </si>
  <si>
    <t>M/s S.B.E.S Electricals</t>
  </si>
  <si>
    <t>009-17-000030</t>
  </si>
  <si>
    <t>Improvements to Roads and Drain at Canara Bank Layout 5th Main in Ward No 09  Vidyaranyapura Vidyaranyapura Sub Division</t>
  </si>
  <si>
    <t>T.N.Umashenkar</t>
  </si>
  <si>
    <t>009-18-000015</t>
  </si>
  <si>
    <t>Providing and fixing LED Street lights and other fittings ward no 9</t>
  </si>
  <si>
    <t>009-17-000039</t>
  </si>
  <si>
    <t>Construction of RCC Drain from 11th A Cross to 5th Main BEL Layout 3rd Block in Ward No 09 Vidyaranyapura Vidyaranyapura Sub Division</t>
  </si>
  <si>
    <t>T.K.Shankarappa</t>
  </si>
  <si>
    <t>009-17-000031</t>
  </si>
  <si>
    <t>Providing and fixing Street name boards in Ward No 09 Vidyaranyapura Vidyaranyapura Sub Division</t>
  </si>
  <si>
    <t>N.N.Sreenivasaiah</t>
  </si>
  <si>
    <t>009-17-000044</t>
  </si>
  <si>
    <t>Package 1 a) Improvements to playgrounds at Thanisandra Village at Ward No.06 b) Improvements to Suvarna Mahotsava Play groundon Vidyaranyapura main road at ward no-09 in Byatarayanapura Assembly Constituency, Yelahanka Zone. c) Improvements to playgrounds at Ward No 11 Kuvempunagara d) Developmental works to play ground (Stadium) in Ward No.05 Jakkur e) Developmental Works to play ground (Stadium) Sahakarnagara Ward No.08 Kodigehalli</t>
  </si>
  <si>
    <t>Sri Arun Kumar B</t>
  </si>
  <si>
    <t>009-16-000049</t>
  </si>
  <si>
    <t>Consultancy Services for preparation of Detailed survey, Designs, Drawings, Estimate, Bid document, bill of Quantities for the work of Improvements to Suvarna Mahostava Play Ground on Vidyaranyapura Main Road in Ward No 09 Vidyranyapura, Vidyaranyapura Sub Division</t>
  </si>
  <si>
    <t>009-17-000034</t>
  </si>
  <si>
    <t>Improvements to Roads and Drains at 1st Cross Bullet Krishnappa layout in Ward No 09 Vidyaranyapura Vidyaranyapura Sub Division</t>
  </si>
  <si>
    <t>Kiran kirhsnareddy</t>
  </si>
  <si>
    <t>July</t>
  </si>
  <si>
    <t>009-17-000001</t>
  </si>
  <si>
    <t xml:space="preserve">Development of civil works at BEL Layout Parks in ward no 9 Vidyaranyapura </t>
  </si>
  <si>
    <t>Technical Manager(West)</t>
  </si>
  <si>
    <t>P2415</t>
  </si>
  <si>
    <t>Reserve fund for TandF Committee</t>
  </si>
  <si>
    <t>009-17-000003</t>
  </si>
  <si>
    <t xml:space="preserve">Development of civil works at Canara Bank Layout Parks in ward no 9 Vidyaranyapura </t>
  </si>
  <si>
    <t>009-17-000002</t>
  </si>
  <si>
    <t xml:space="preserve">Development of civil works at HMT Layout Parks in ward no 9 Vidyaranyapura </t>
  </si>
  <si>
    <t>009-17-000004</t>
  </si>
  <si>
    <t>Construction of Compound wall to Primary Health centre at Kodigehalli and other development works in ward no 9 Vidyaranyapura</t>
  </si>
  <si>
    <t>009-17-000043</t>
  </si>
  <si>
    <t>Providing Drinking Water through Water Tanker in Ward No 09 Vidyaranyapura Vidyaranyapura sub Division</t>
  </si>
  <si>
    <t>Madusudan</t>
  </si>
  <si>
    <t>009-17-000042</t>
  </si>
  <si>
    <t>Drilling of borewells Providing pump motor and commissioning in Ward No 09 Vidyaranyapura Vidyaranyapura sub Division</t>
  </si>
  <si>
    <t>Madhusudan R</t>
  </si>
  <si>
    <t>009-17-000036</t>
  </si>
  <si>
    <t>Improvements to Roads and Drains Sonnappa Layout Cross Roads Virupakshapura in Ward No 09 Vidyaranyapura Vidyaranyapura Sub Division</t>
  </si>
  <si>
    <t>N. Lokanathreddy</t>
  </si>
  <si>
    <t>009-17-000029</t>
  </si>
  <si>
    <t>Improvements to Roads and Drain Kunte Road 4th Main Park Road in Ward No 09 Vidyaranyapura Vidyaranyapura Sub Division</t>
  </si>
  <si>
    <t>N. Lokanathareddy</t>
  </si>
  <si>
    <t>August</t>
  </si>
  <si>
    <t>009-16-000007</t>
  </si>
  <si>
    <t>Improvements to Roads and Drains and Asphalting to roads near Veerabadraswamy Temple Thindlu in ward no 09 in Vidyaranyapura Sub Division</t>
  </si>
  <si>
    <t>B. Chandrashekar</t>
  </si>
  <si>
    <t>009-17-000064</t>
  </si>
  <si>
    <t>Construction of Sheltar and Power Conection For Shredder in B.W.S.S.B Office Opposite</t>
  </si>
  <si>
    <t>Sri.N.Ramamurthy</t>
  </si>
  <si>
    <t>P3158</t>
  </si>
  <si>
    <t>SIP Infrastructure Project works</t>
  </si>
  <si>
    <t>009-18-000008</t>
  </si>
  <si>
    <t>Consultancy Services for Project Management Consultancy for Package No:07 (Package Consists of 2 works)</t>
  </si>
  <si>
    <t>Rudraprasad Consultants</t>
  </si>
  <si>
    <t>P3111</t>
  </si>
  <si>
    <t>State Finance Commission Untied Grant Works</t>
  </si>
  <si>
    <t>009-18-000005</t>
  </si>
  <si>
    <t>Package-6, includes 3 works of Rs.180.00 lakhs 1) Improvements to Open Spaces in Different Play Ground in Ward No. 09 (Vidyaranyapura), Vidyaranyapura Sub Division. 2) Improvements and Asphalting to Roads and Drains near Chamundeshwari Temple area, Doddabommasandra in Ward No. 09 (Vidyaranyapura), Vidyaranyapura Sub Division. 3) Asphalting to Balance Roads at BEL Layout, HMT Layout, NTI Layout, Defence Layout, Thindlu and Surrounding areas &amp; Construction of Culvert in Ward No. 09 (Vidyaranyapura), Vidyaranyapura Sub Division.</t>
  </si>
  <si>
    <t>October</t>
  </si>
  <si>
    <t>009-17-000056</t>
  </si>
  <si>
    <t>Engagement of Gangman and Hiring of Troctor Tippers for cleaning and Maintenance of road side drains and other cleaning works in works in ward no 09</t>
  </si>
  <si>
    <t>P3110</t>
  </si>
  <si>
    <t>14th Finance Commission Grant Works</t>
  </si>
  <si>
    <t>December</t>
  </si>
  <si>
    <t>009-16-000037</t>
  </si>
  <si>
    <t>Consultancy Services for Preparation of DPR (Which includes Survey Designs, Drawing,Estimate etc.,) and for Project Management Consultancy for Package No.03 (package Consists of 28 Works of Rs.1425.00 lakhs)</t>
  </si>
  <si>
    <t>M/s Tejus Consultants</t>
  </si>
  <si>
    <t>009-19-000031</t>
  </si>
  <si>
    <t>Consultancy Services for Preparation of DPR (which includes Survey,Designs,Drawing, Estimate etc.,) and for Project Management Consultancy (Consultancy Services for Construction Supervision ,Project Management &amp; Quality Assurance for the works) For Improvements to roads and drains in Thindlu colony Narasipura layout Kempegowdanagara and surrounding area in ward no 09.Est cost 65.00 Lakhs.</t>
  </si>
  <si>
    <t>Sri.C VEERAMMA TRANSHEIGHT CONSULTANTS PRIVATE LIMITED</t>
  </si>
  <si>
    <t>P3409</t>
  </si>
  <si>
    <t>SFC Untied SC-SP/TSP Grant works</t>
  </si>
  <si>
    <t>009-19-000030</t>
  </si>
  <si>
    <t>Consultancy Services for Preparation of DPR (which includes Survey,Designs,Drawing, Estimate etc.,) and for Project Management Consultancy (Consultancy Services for Construction Supervision ,Project Management &amp; Quality Assurance for the works) For Improvements to roads and drains at BEL layout, HMT layout, Rajivgandhi nagar (NTI), Thindlu and surrounding areas in ward no 09.Est cost 127.00 Lakhs.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</si>
</sst>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workbookViewId="0">
      <selection activeCell="A2" sqref="A2:XFD31"/>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366</v>
      </c>
      <c r="B2" s="6" t="s">
        <v>28</v>
      </c>
      <c r="C2" s="7">
        <v>43566</v>
      </c>
      <c r="D2" s="8">
        <v>9</v>
      </c>
      <c r="E2" s="9" t="s">
        <v>51</v>
      </c>
      <c r="F2" s="8" t="s">
        <v>52</v>
      </c>
      <c r="G2" s="9" t="s">
        <v>53</v>
      </c>
      <c r="H2" s="8" t="str">
        <f>"000071"</f>
        <v>000071</v>
      </c>
      <c r="I2" s="7">
        <v>43152</v>
      </c>
      <c r="J2" s="8" t="str">
        <f>"000020"</f>
        <v>000020</v>
      </c>
      <c r="K2" s="7">
        <v>43243</v>
      </c>
      <c r="L2" s="8" t="str">
        <f>"000021"</f>
        <v>000021</v>
      </c>
      <c r="M2" s="7">
        <v>43249</v>
      </c>
      <c r="N2" s="8">
        <v>18</v>
      </c>
      <c r="O2" s="8" t="str">
        <f>"000169"</f>
        <v>000169</v>
      </c>
      <c r="P2" s="7">
        <v>43563</v>
      </c>
      <c r="Q2" s="10">
        <v>39.98104</v>
      </c>
      <c r="R2" s="10">
        <v>3.2617099999999999</v>
      </c>
      <c r="S2" s="10">
        <v>36.719329999999999</v>
      </c>
      <c r="T2" s="8">
        <v>11</v>
      </c>
      <c r="U2" s="7">
        <v>43566</v>
      </c>
      <c r="V2" s="8">
        <v>0</v>
      </c>
      <c r="W2" s="9" t="s">
        <v>54</v>
      </c>
      <c r="X2" s="8" t="s">
        <v>29</v>
      </c>
      <c r="Y2" s="9" t="s">
        <v>30</v>
      </c>
      <c r="Z2" s="8" t="s">
        <v>55</v>
      </c>
      <c r="AA2" s="9" t="s">
        <v>56</v>
      </c>
      <c r="AB2" s="10">
        <f t="shared" ref="AB2:AB12" si="0">Q2/100</f>
        <v>0.39981040000000001</v>
      </c>
    </row>
    <row r="3" spans="1:28" s="4" customFormat="1" ht="13" x14ac:dyDescent="0.3">
      <c r="A3" s="5">
        <v>367</v>
      </c>
      <c r="B3" s="6" t="s">
        <v>28</v>
      </c>
      <c r="C3" s="7">
        <v>43566</v>
      </c>
      <c r="D3" s="8">
        <v>9</v>
      </c>
      <c r="E3" s="9" t="s">
        <v>51</v>
      </c>
      <c r="F3" s="8" t="s">
        <v>57</v>
      </c>
      <c r="G3" s="9" t="s">
        <v>58</v>
      </c>
      <c r="H3" s="8" t="str">
        <f>"000009"</f>
        <v>000009</v>
      </c>
      <c r="I3" s="7">
        <v>43276</v>
      </c>
      <c r="J3" s="8" t="str">
        <f>"000087"</f>
        <v>000087</v>
      </c>
      <c r="K3" s="7">
        <v>43494</v>
      </c>
      <c r="L3" s="8" t="str">
        <f>"000199"</f>
        <v>000199</v>
      </c>
      <c r="M3" s="7">
        <v>43494</v>
      </c>
      <c r="N3" s="8">
        <v>18</v>
      </c>
      <c r="O3" s="8" t="str">
        <f>"000310"</f>
        <v>000310</v>
      </c>
      <c r="P3" s="7">
        <v>43565</v>
      </c>
      <c r="Q3" s="10">
        <v>24.893170000000001</v>
      </c>
      <c r="R3" s="10">
        <v>2.4608599999999998</v>
      </c>
      <c r="S3" s="10">
        <v>22.432310000000001</v>
      </c>
      <c r="T3" s="8">
        <v>16</v>
      </c>
      <c r="U3" s="7">
        <v>43566</v>
      </c>
      <c r="V3" s="8">
        <v>9449863065</v>
      </c>
      <c r="W3" s="9" t="s">
        <v>59</v>
      </c>
      <c r="X3" s="8" t="s">
        <v>49</v>
      </c>
      <c r="Y3" s="9" t="s">
        <v>50</v>
      </c>
      <c r="Z3" s="8" t="s">
        <v>55</v>
      </c>
      <c r="AA3" s="9" t="s">
        <v>56</v>
      </c>
      <c r="AB3" s="10">
        <f t="shared" si="0"/>
        <v>0.24893170000000001</v>
      </c>
    </row>
    <row r="4" spans="1:28" s="4" customFormat="1" ht="13" x14ac:dyDescent="0.3">
      <c r="A4" s="5">
        <v>368</v>
      </c>
      <c r="B4" s="6" t="s">
        <v>28</v>
      </c>
      <c r="C4" s="7">
        <v>43575</v>
      </c>
      <c r="D4" s="8">
        <v>9</v>
      </c>
      <c r="E4" s="9" t="s">
        <v>51</v>
      </c>
      <c r="F4" s="8" t="s">
        <v>60</v>
      </c>
      <c r="G4" s="9" t="s">
        <v>61</v>
      </c>
      <c r="H4" s="8" t="str">
        <f>"000033"</f>
        <v>000033</v>
      </c>
      <c r="I4" s="7">
        <v>42784</v>
      </c>
      <c r="J4" s="8" t="str">
        <f>"000032"</f>
        <v>000032</v>
      </c>
      <c r="K4" s="7">
        <v>42877</v>
      </c>
      <c r="L4" s="8" t="str">
        <f>"000032"</f>
        <v>000032</v>
      </c>
      <c r="M4" s="7">
        <v>42877</v>
      </c>
      <c r="N4" s="8">
        <v>16</v>
      </c>
      <c r="O4" s="8" t="str">
        <f>"006300"</f>
        <v>006300</v>
      </c>
      <c r="P4" s="7">
        <v>43003</v>
      </c>
      <c r="Q4" s="10">
        <v>10.21176</v>
      </c>
      <c r="R4" s="10">
        <v>1.0017799999999999</v>
      </c>
      <c r="S4" s="10">
        <v>9.2099799999999998</v>
      </c>
      <c r="T4" s="8">
        <v>20</v>
      </c>
      <c r="U4" s="7">
        <v>43575</v>
      </c>
      <c r="V4" s="8">
        <v>9845087137</v>
      </c>
      <c r="W4" s="9" t="s">
        <v>62</v>
      </c>
      <c r="X4" s="8" t="s">
        <v>31</v>
      </c>
      <c r="Y4" s="9" t="s">
        <v>32</v>
      </c>
      <c r="Z4" s="8" t="s">
        <v>33</v>
      </c>
      <c r="AA4" s="9" t="s">
        <v>34</v>
      </c>
      <c r="AB4" s="10">
        <f t="shared" si="0"/>
        <v>0.1021176</v>
      </c>
    </row>
    <row r="5" spans="1:28" s="4" customFormat="1" ht="13" x14ac:dyDescent="0.3">
      <c r="A5" s="5">
        <v>369</v>
      </c>
      <c r="B5" s="6" t="s">
        <v>28</v>
      </c>
      <c r="C5" s="7">
        <v>43575</v>
      </c>
      <c r="D5" s="8">
        <v>9</v>
      </c>
      <c r="E5" s="9" t="s">
        <v>51</v>
      </c>
      <c r="F5" s="8" t="s">
        <v>60</v>
      </c>
      <c r="G5" s="9" t="s">
        <v>61</v>
      </c>
      <c r="H5" s="8" t="str">
        <f>"000033"</f>
        <v>000033</v>
      </c>
      <c r="I5" s="7">
        <v>42784</v>
      </c>
      <c r="J5" s="8" t="str">
        <f>"000032"</f>
        <v>000032</v>
      </c>
      <c r="K5" s="7">
        <v>42877</v>
      </c>
      <c r="L5" s="8" t="str">
        <f>"000032"</f>
        <v>000032</v>
      </c>
      <c r="M5" s="7">
        <v>42877</v>
      </c>
      <c r="N5" s="8">
        <v>16</v>
      </c>
      <c r="O5" s="8" t="str">
        <f>"006300"</f>
        <v>006300</v>
      </c>
      <c r="P5" s="7">
        <v>43003</v>
      </c>
      <c r="Q5" s="10">
        <v>8.1693999999999996</v>
      </c>
      <c r="R5" s="10">
        <v>0.96428999999999998</v>
      </c>
      <c r="S5" s="10">
        <v>7.2051100000000003</v>
      </c>
      <c r="T5" s="8">
        <v>20</v>
      </c>
      <c r="U5" s="7">
        <v>43575</v>
      </c>
      <c r="V5" s="8">
        <v>9845087137</v>
      </c>
      <c r="W5" s="9" t="s">
        <v>62</v>
      </c>
      <c r="X5" s="8" t="s">
        <v>31</v>
      </c>
      <c r="Y5" s="9" t="s">
        <v>32</v>
      </c>
      <c r="Z5" s="8" t="s">
        <v>33</v>
      </c>
      <c r="AA5" s="9" t="s">
        <v>34</v>
      </c>
      <c r="AB5" s="10">
        <f t="shared" si="0"/>
        <v>8.1693999999999989E-2</v>
      </c>
    </row>
    <row r="6" spans="1:28" s="4" customFormat="1" ht="13" x14ac:dyDescent="0.3">
      <c r="A6" s="5">
        <v>370</v>
      </c>
      <c r="B6" s="6" t="s">
        <v>28</v>
      </c>
      <c r="C6" s="7">
        <v>43580</v>
      </c>
      <c r="D6" s="8">
        <v>9</v>
      </c>
      <c r="E6" s="9" t="s">
        <v>51</v>
      </c>
      <c r="F6" s="8" t="s">
        <v>60</v>
      </c>
      <c r="G6" s="9" t="s">
        <v>61</v>
      </c>
      <c r="H6" s="8" t="str">
        <f>"000033"</f>
        <v>000033</v>
      </c>
      <c r="I6" s="7">
        <v>42784</v>
      </c>
      <c r="J6" s="8" t="str">
        <f>"000032"</f>
        <v>000032</v>
      </c>
      <c r="K6" s="7">
        <v>42877</v>
      </c>
      <c r="L6" s="8" t="str">
        <f>"000032"</f>
        <v>000032</v>
      </c>
      <c r="M6" s="7">
        <v>42877</v>
      </c>
      <c r="N6" s="8">
        <v>16</v>
      </c>
      <c r="O6" s="8" t="str">
        <f>"006300"</f>
        <v>006300</v>
      </c>
      <c r="P6" s="7">
        <v>43003</v>
      </c>
      <c r="Q6" s="10">
        <v>4.0846999999999998</v>
      </c>
      <c r="R6" s="10">
        <v>0.79264999999999997</v>
      </c>
      <c r="S6" s="10">
        <v>3.2920500000000001</v>
      </c>
      <c r="T6" s="8">
        <v>29</v>
      </c>
      <c r="U6" s="7">
        <v>43580</v>
      </c>
      <c r="V6" s="8">
        <v>9845087137</v>
      </c>
      <c r="W6" s="9" t="s">
        <v>62</v>
      </c>
      <c r="X6" s="8" t="s">
        <v>31</v>
      </c>
      <c r="Y6" s="9" t="s">
        <v>32</v>
      </c>
      <c r="Z6" s="8" t="s">
        <v>33</v>
      </c>
      <c r="AA6" s="9" t="s">
        <v>34</v>
      </c>
      <c r="AB6" s="10">
        <f t="shared" si="0"/>
        <v>4.0846999999999994E-2</v>
      </c>
    </row>
    <row r="7" spans="1:28" s="4" customFormat="1" ht="13" x14ac:dyDescent="0.3">
      <c r="A7" s="5">
        <v>371</v>
      </c>
      <c r="B7" s="6" t="s">
        <v>40</v>
      </c>
      <c r="C7" s="7">
        <v>43591</v>
      </c>
      <c r="D7" s="8">
        <v>9</v>
      </c>
      <c r="E7" s="9" t="s">
        <v>51</v>
      </c>
      <c r="F7" s="8" t="s">
        <v>68</v>
      </c>
      <c r="G7" s="9" t="s">
        <v>69</v>
      </c>
      <c r="H7" s="8" t="str">
        <f>"000065"</f>
        <v>000065</v>
      </c>
      <c r="I7" s="7">
        <v>42886</v>
      </c>
      <c r="J7" s="8" t="str">
        <f>"000106"</f>
        <v>000106</v>
      </c>
      <c r="K7" s="7">
        <v>42916</v>
      </c>
      <c r="L7" s="8" t="str">
        <f>"000223"</f>
        <v>000223</v>
      </c>
      <c r="M7" s="7">
        <v>42916</v>
      </c>
      <c r="N7" s="8">
        <v>17</v>
      </c>
      <c r="O7" s="8" t="str">
        <f>"000849"</f>
        <v>000849</v>
      </c>
      <c r="P7" s="7">
        <v>43578</v>
      </c>
      <c r="Q7" s="10">
        <v>26.060359999999999</v>
      </c>
      <c r="R7" s="10">
        <v>1.90239</v>
      </c>
      <c r="S7" s="10">
        <v>24.157969999999999</v>
      </c>
      <c r="T7" s="8">
        <v>37</v>
      </c>
      <c r="U7" s="7">
        <v>43591</v>
      </c>
      <c r="V7" s="8">
        <v>9964440879</v>
      </c>
      <c r="W7" s="9" t="s">
        <v>70</v>
      </c>
      <c r="X7" s="8" t="s">
        <v>38</v>
      </c>
      <c r="Y7" s="9" t="s">
        <v>39</v>
      </c>
      <c r="Z7" s="8" t="s">
        <v>55</v>
      </c>
      <c r="AA7" s="9" t="s">
        <v>56</v>
      </c>
      <c r="AB7" s="10">
        <f t="shared" si="0"/>
        <v>0.26060359999999999</v>
      </c>
    </row>
    <row r="8" spans="1:28" s="4" customFormat="1" ht="13" x14ac:dyDescent="0.3">
      <c r="A8" s="5">
        <v>372</v>
      </c>
      <c r="B8" s="6" t="s">
        <v>40</v>
      </c>
      <c r="C8" s="7">
        <v>43602</v>
      </c>
      <c r="D8" s="8">
        <v>9</v>
      </c>
      <c r="E8" s="9" t="s">
        <v>51</v>
      </c>
      <c r="F8" s="8" t="s">
        <v>71</v>
      </c>
      <c r="G8" s="9" t="s">
        <v>72</v>
      </c>
      <c r="H8" s="8" t="str">
        <f>"000206"</f>
        <v>000206</v>
      </c>
      <c r="I8" s="7">
        <v>42826</v>
      </c>
      <c r="J8" s="8" t="str">
        <f>"000004"</f>
        <v>000004</v>
      </c>
      <c r="K8" s="7">
        <v>42993</v>
      </c>
      <c r="L8" s="8" t="str">
        <f>"000017"</f>
        <v>000017</v>
      </c>
      <c r="M8" s="7">
        <v>42993</v>
      </c>
      <c r="N8" s="8">
        <v>17</v>
      </c>
      <c r="O8" s="8" t="str">
        <f>"001543"</f>
        <v>001543</v>
      </c>
      <c r="P8" s="7">
        <v>43599</v>
      </c>
      <c r="Q8" s="10">
        <v>13.001289999999999</v>
      </c>
      <c r="R8" s="10">
        <v>0.55803999999999998</v>
      </c>
      <c r="S8" s="10">
        <v>12.443250000000001</v>
      </c>
      <c r="T8" s="8">
        <v>49</v>
      </c>
      <c r="U8" s="7">
        <v>43602</v>
      </c>
      <c r="V8" s="8">
        <v>9448000937</v>
      </c>
      <c r="W8" s="9" t="s">
        <v>73</v>
      </c>
      <c r="X8" s="8" t="s">
        <v>38</v>
      </c>
      <c r="Y8" s="9" t="s">
        <v>39</v>
      </c>
      <c r="Z8" s="8" t="s">
        <v>55</v>
      </c>
      <c r="AA8" s="9" t="s">
        <v>56</v>
      </c>
      <c r="AB8" s="10">
        <f t="shared" si="0"/>
        <v>0.13001289999999999</v>
      </c>
    </row>
    <row r="9" spans="1:28" s="4" customFormat="1" ht="13" x14ac:dyDescent="0.3">
      <c r="A9" s="5">
        <v>373</v>
      </c>
      <c r="B9" s="6" t="s">
        <v>40</v>
      </c>
      <c r="C9" s="7">
        <v>43606</v>
      </c>
      <c r="D9" s="8">
        <v>9</v>
      </c>
      <c r="E9" s="9" t="s">
        <v>51</v>
      </c>
      <c r="F9" s="8" t="s">
        <v>74</v>
      </c>
      <c r="G9" s="9" t="s">
        <v>75</v>
      </c>
      <c r="H9" s="8" t="str">
        <f>"000100"</f>
        <v>000100</v>
      </c>
      <c r="I9" s="7">
        <v>43183</v>
      </c>
      <c r="J9" s="8" t="str">
        <f>"000001"</f>
        <v>000001</v>
      </c>
      <c r="K9" s="7">
        <v>43564</v>
      </c>
      <c r="L9" s="8" t="str">
        <f>"000001"</f>
        <v>000001</v>
      </c>
      <c r="M9" s="7">
        <v>43564</v>
      </c>
      <c r="N9" s="8">
        <v>17</v>
      </c>
      <c r="O9" s="8" t="str">
        <f>"001654"</f>
        <v>001654</v>
      </c>
      <c r="P9" s="7">
        <v>43601</v>
      </c>
      <c r="Q9" s="10">
        <v>84.466459999999998</v>
      </c>
      <c r="R9" s="10">
        <v>6.5332299999999996</v>
      </c>
      <c r="S9" s="10">
        <v>77.933229999999995</v>
      </c>
      <c r="T9" s="8">
        <v>54</v>
      </c>
      <c r="U9" s="7">
        <v>43606</v>
      </c>
      <c r="V9" s="8">
        <v>9844010737</v>
      </c>
      <c r="W9" s="9" t="s">
        <v>76</v>
      </c>
      <c r="X9" s="8" t="s">
        <v>44</v>
      </c>
      <c r="Y9" s="9" t="s">
        <v>45</v>
      </c>
      <c r="Z9" s="8" t="s">
        <v>35</v>
      </c>
      <c r="AA9" s="9" t="s">
        <v>36</v>
      </c>
      <c r="AB9" s="10">
        <f t="shared" si="0"/>
        <v>0.84466459999999999</v>
      </c>
    </row>
    <row r="10" spans="1:28" s="4" customFormat="1" ht="13" x14ac:dyDescent="0.3">
      <c r="A10" s="5">
        <v>374</v>
      </c>
      <c r="B10" s="6" t="s">
        <v>40</v>
      </c>
      <c r="C10" s="7">
        <v>43606</v>
      </c>
      <c r="D10" s="8">
        <v>9</v>
      </c>
      <c r="E10" s="9" t="s">
        <v>51</v>
      </c>
      <c r="F10" s="8" t="s">
        <v>60</v>
      </c>
      <c r="G10" s="9" t="s">
        <v>61</v>
      </c>
      <c r="H10" s="8" t="str">
        <f>"000033"</f>
        <v>000033</v>
      </c>
      <c r="I10" s="7">
        <v>42784</v>
      </c>
      <c r="J10" s="8" t="str">
        <f>"000032"</f>
        <v>000032</v>
      </c>
      <c r="K10" s="7">
        <v>42877</v>
      </c>
      <c r="L10" s="8" t="str">
        <f>"000032"</f>
        <v>000032</v>
      </c>
      <c r="M10" s="7">
        <v>42877</v>
      </c>
      <c r="N10" s="8">
        <v>16</v>
      </c>
      <c r="O10" s="8" t="str">
        <f>"006300"</f>
        <v>006300</v>
      </c>
      <c r="P10" s="7">
        <v>43003</v>
      </c>
      <c r="Q10" s="10">
        <v>6.1270499999999997</v>
      </c>
      <c r="R10" s="10">
        <v>0.69701000000000002</v>
      </c>
      <c r="S10" s="10">
        <v>5.43004</v>
      </c>
      <c r="T10" s="8">
        <v>55</v>
      </c>
      <c r="U10" s="7">
        <v>43606</v>
      </c>
      <c r="V10" s="8">
        <v>9845087137</v>
      </c>
      <c r="W10" s="9" t="s">
        <v>62</v>
      </c>
      <c r="X10" s="8" t="s">
        <v>31</v>
      </c>
      <c r="Y10" s="9" t="s">
        <v>32</v>
      </c>
      <c r="Z10" s="8" t="s">
        <v>33</v>
      </c>
      <c r="AA10" s="9" t="s">
        <v>34</v>
      </c>
      <c r="AB10" s="10">
        <f t="shared" si="0"/>
        <v>6.1270499999999999E-2</v>
      </c>
    </row>
    <row r="11" spans="1:28" s="4" customFormat="1" ht="13" x14ac:dyDescent="0.3">
      <c r="A11" s="5">
        <v>375</v>
      </c>
      <c r="B11" s="6" t="s">
        <v>40</v>
      </c>
      <c r="C11" s="7">
        <v>43615</v>
      </c>
      <c r="D11" s="8">
        <v>9</v>
      </c>
      <c r="E11" s="9" t="s">
        <v>51</v>
      </c>
      <c r="F11" s="8" t="s">
        <v>77</v>
      </c>
      <c r="G11" s="9" t="s">
        <v>78</v>
      </c>
      <c r="H11" s="8" t="str">
        <f>"000023"</f>
        <v>000023</v>
      </c>
      <c r="I11" s="7">
        <v>42700</v>
      </c>
      <c r="J11" s="8" t="str">
        <f>"000005"</f>
        <v>000005</v>
      </c>
      <c r="K11" s="7">
        <v>43011</v>
      </c>
      <c r="L11" s="8" t="str">
        <f>"000004"</f>
        <v>000004</v>
      </c>
      <c r="M11" s="7">
        <v>43011</v>
      </c>
      <c r="N11" s="8">
        <v>16</v>
      </c>
      <c r="O11" s="8" t="str">
        <f>"002113"</f>
        <v>002113</v>
      </c>
      <c r="P11" s="7">
        <v>43613</v>
      </c>
      <c r="Q11" s="10">
        <v>1.4</v>
      </c>
      <c r="R11" s="10">
        <v>0.14000000000000001</v>
      </c>
      <c r="S11" s="10">
        <v>1.26</v>
      </c>
      <c r="T11" s="8">
        <v>65</v>
      </c>
      <c r="U11" s="7">
        <v>43615</v>
      </c>
      <c r="V11" s="8">
        <v>9972924526</v>
      </c>
      <c r="W11" s="9" t="s">
        <v>41</v>
      </c>
      <c r="X11" s="8" t="s">
        <v>42</v>
      </c>
      <c r="Y11" s="9" t="s">
        <v>43</v>
      </c>
      <c r="Z11" s="8" t="s">
        <v>35</v>
      </c>
      <c r="AA11" s="9" t="s">
        <v>36</v>
      </c>
      <c r="AB11" s="10">
        <f t="shared" si="0"/>
        <v>1.3999999999999999E-2</v>
      </c>
    </row>
    <row r="12" spans="1:28" s="4" customFormat="1" ht="13" x14ac:dyDescent="0.3">
      <c r="A12" s="5">
        <v>376</v>
      </c>
      <c r="B12" s="6" t="s">
        <v>40</v>
      </c>
      <c r="C12" s="7">
        <v>43615</v>
      </c>
      <c r="D12" s="8">
        <v>9</v>
      </c>
      <c r="E12" s="9" t="s">
        <v>51</v>
      </c>
      <c r="F12" s="8" t="s">
        <v>79</v>
      </c>
      <c r="G12" s="9" t="s">
        <v>80</v>
      </c>
      <c r="H12" s="8" t="str">
        <f>"000017"</f>
        <v>000017</v>
      </c>
      <c r="I12" s="7">
        <v>42832</v>
      </c>
      <c r="J12" s="8" t="str">
        <f>"000016"</f>
        <v>000016</v>
      </c>
      <c r="K12" s="7">
        <v>43032</v>
      </c>
      <c r="L12" s="8" t="str">
        <f>"000041"</f>
        <v>000041</v>
      </c>
      <c r="M12" s="7">
        <v>43039</v>
      </c>
      <c r="N12" s="8">
        <v>17</v>
      </c>
      <c r="O12" s="8" t="str">
        <f>"002206"</f>
        <v>002206</v>
      </c>
      <c r="P12" s="7">
        <v>43613</v>
      </c>
      <c r="Q12" s="10">
        <v>7.5856700000000004</v>
      </c>
      <c r="R12" s="10">
        <v>0.43694</v>
      </c>
      <c r="S12" s="10">
        <v>7.1487299999999996</v>
      </c>
      <c r="T12" s="8">
        <v>65</v>
      </c>
      <c r="U12" s="7">
        <v>43615</v>
      </c>
      <c r="V12" s="8">
        <v>0</v>
      </c>
      <c r="W12" s="9" t="s">
        <v>81</v>
      </c>
      <c r="X12" s="8" t="s">
        <v>38</v>
      </c>
      <c r="Y12" s="9" t="s">
        <v>39</v>
      </c>
      <c r="Z12" s="8" t="s">
        <v>55</v>
      </c>
      <c r="AA12" s="9" t="s">
        <v>56</v>
      </c>
      <c r="AB12" s="10">
        <f t="shared" si="0"/>
        <v>7.5856699999999999E-2</v>
      </c>
    </row>
    <row r="13" spans="1:28" s="4" customFormat="1" ht="13" x14ac:dyDescent="0.3">
      <c r="A13" s="5">
        <v>377</v>
      </c>
      <c r="B13" s="6" t="s">
        <v>37</v>
      </c>
      <c r="C13" s="7">
        <v>43628</v>
      </c>
      <c r="D13" s="8">
        <v>9</v>
      </c>
      <c r="E13" s="9" t="s">
        <v>51</v>
      </c>
      <c r="F13" s="8" t="s">
        <v>63</v>
      </c>
      <c r="G13" s="9" t="s">
        <v>64</v>
      </c>
      <c r="H13" s="8" t="str">
        <f>"000090"</f>
        <v>000090</v>
      </c>
      <c r="I13" s="7">
        <v>42914</v>
      </c>
      <c r="J13" s="8" t="str">
        <f>"000018"</f>
        <v>000018</v>
      </c>
      <c r="K13" s="7">
        <v>43055</v>
      </c>
      <c r="L13" s="8" t="str">
        <f>"000065"</f>
        <v>000065</v>
      </c>
      <c r="M13" s="7">
        <v>43087</v>
      </c>
      <c r="N13" s="8">
        <v>17</v>
      </c>
      <c r="O13" s="8" t="str">
        <f>"002618"</f>
        <v>002618</v>
      </c>
      <c r="P13" s="7">
        <v>43627</v>
      </c>
      <c r="Q13" s="10">
        <v>19.734359999999999</v>
      </c>
      <c r="R13" s="10">
        <v>1.0047299999999999</v>
      </c>
      <c r="S13" s="10">
        <v>18.72963</v>
      </c>
      <c r="T13" s="8">
        <v>76</v>
      </c>
      <c r="U13" s="7">
        <v>43628</v>
      </c>
      <c r="V13" s="8">
        <v>0</v>
      </c>
      <c r="W13" s="9" t="s">
        <v>65</v>
      </c>
      <c r="X13" s="8" t="s">
        <v>38</v>
      </c>
      <c r="Y13" s="9" t="s">
        <v>39</v>
      </c>
      <c r="Z13" s="8" t="s">
        <v>55</v>
      </c>
      <c r="AA13" s="9" t="s">
        <v>56</v>
      </c>
      <c r="AB13" s="10">
        <v>0.19734359999999998</v>
      </c>
    </row>
    <row r="14" spans="1:28" s="4" customFormat="1" ht="13" x14ac:dyDescent="0.3">
      <c r="A14" s="5">
        <v>378</v>
      </c>
      <c r="B14" s="6" t="s">
        <v>37</v>
      </c>
      <c r="C14" s="7">
        <v>43633</v>
      </c>
      <c r="D14" s="8">
        <v>9</v>
      </c>
      <c r="E14" s="9" t="s">
        <v>51</v>
      </c>
      <c r="F14" s="8" t="s">
        <v>66</v>
      </c>
      <c r="G14" s="9" t="s">
        <v>67</v>
      </c>
      <c r="H14" s="8" t="str">
        <f>"000040"</f>
        <v>000040</v>
      </c>
      <c r="I14" s="7">
        <v>43384</v>
      </c>
      <c r="J14" s="8" t="str">
        <f>"000103"</f>
        <v>000103</v>
      </c>
      <c r="K14" s="7">
        <v>43509</v>
      </c>
      <c r="L14" s="8" t="str">
        <f>"000139"</f>
        <v>000139</v>
      </c>
      <c r="M14" s="7">
        <v>43509</v>
      </c>
      <c r="N14" s="8">
        <v>18</v>
      </c>
      <c r="O14" s="8" t="str">
        <f>"002697"</f>
        <v>002697</v>
      </c>
      <c r="P14" s="7">
        <v>43629</v>
      </c>
      <c r="Q14" s="10">
        <v>9.9964399999999998</v>
      </c>
      <c r="R14" s="10">
        <v>1.23814</v>
      </c>
      <c r="S14" s="10">
        <v>8.7583000000000002</v>
      </c>
      <c r="T14" s="8">
        <v>83</v>
      </c>
      <c r="U14" s="7">
        <v>43633</v>
      </c>
      <c r="V14" s="8">
        <v>9449863065</v>
      </c>
      <c r="W14" s="9" t="s">
        <v>46</v>
      </c>
      <c r="X14" s="8" t="s">
        <v>47</v>
      </c>
      <c r="Y14" s="9" t="s">
        <v>48</v>
      </c>
      <c r="Z14" s="8" t="s">
        <v>33</v>
      </c>
      <c r="AA14" s="9" t="s">
        <v>34</v>
      </c>
      <c r="AB14" s="10">
        <v>9.9964399999999995E-2</v>
      </c>
    </row>
    <row r="15" spans="1:28" s="4" customFormat="1" ht="13" x14ac:dyDescent="0.3">
      <c r="A15" s="5">
        <v>379</v>
      </c>
      <c r="B15" s="6" t="s">
        <v>82</v>
      </c>
      <c r="C15" s="7">
        <v>43663</v>
      </c>
      <c r="D15" s="8">
        <v>9</v>
      </c>
      <c r="E15" s="9" t="s">
        <v>51</v>
      </c>
      <c r="F15" s="8" t="s">
        <v>83</v>
      </c>
      <c r="G15" s="11" t="s">
        <v>84</v>
      </c>
      <c r="H15" s="8" t="str">
        <f>"000029"</f>
        <v>000029</v>
      </c>
      <c r="I15" s="7">
        <v>42762</v>
      </c>
      <c r="J15" s="8" t="str">
        <f>"000060"</f>
        <v>000060</v>
      </c>
      <c r="K15" s="7">
        <v>43187</v>
      </c>
      <c r="L15" s="8" t="str">
        <f>"000069"</f>
        <v>000069</v>
      </c>
      <c r="M15" s="7">
        <v>43187</v>
      </c>
      <c r="N15" s="8">
        <v>17</v>
      </c>
      <c r="O15" s="8" t="str">
        <f>"003441"</f>
        <v>003441</v>
      </c>
      <c r="P15" s="7">
        <v>43662</v>
      </c>
      <c r="Q15" s="12">
        <v>29.991240000000001</v>
      </c>
      <c r="R15" s="12">
        <v>2.7271999999999998</v>
      </c>
      <c r="S15" s="12">
        <v>27.264040000000001</v>
      </c>
      <c r="T15" s="8">
        <v>113</v>
      </c>
      <c r="U15" s="7">
        <v>43663</v>
      </c>
      <c r="V15" s="8">
        <v>9900333496</v>
      </c>
      <c r="W15" s="11" t="s">
        <v>85</v>
      </c>
      <c r="X15" s="8" t="s">
        <v>86</v>
      </c>
      <c r="Y15" s="11" t="s">
        <v>87</v>
      </c>
      <c r="Z15" s="8" t="s">
        <v>35</v>
      </c>
      <c r="AA15" s="11" t="s">
        <v>36</v>
      </c>
      <c r="AB15" s="12">
        <f t="shared" ref="AB15:AB26" si="1">Q15/100</f>
        <v>0.29991240000000002</v>
      </c>
    </row>
    <row r="16" spans="1:28" s="4" customFormat="1" ht="13" x14ac:dyDescent="0.3">
      <c r="A16" s="5">
        <v>380</v>
      </c>
      <c r="B16" s="6" t="s">
        <v>82</v>
      </c>
      <c r="C16" s="7">
        <v>43663</v>
      </c>
      <c r="D16" s="8">
        <v>9</v>
      </c>
      <c r="E16" s="9" t="s">
        <v>51</v>
      </c>
      <c r="F16" s="8" t="s">
        <v>88</v>
      </c>
      <c r="G16" s="11" t="s">
        <v>89</v>
      </c>
      <c r="H16" s="8" t="str">
        <f>"000027"</f>
        <v>000027</v>
      </c>
      <c r="I16" s="7">
        <v>42762</v>
      </c>
      <c r="J16" s="8" t="str">
        <f>"000061"</f>
        <v>000061</v>
      </c>
      <c r="K16" s="7">
        <v>43187</v>
      </c>
      <c r="L16" s="8" t="str">
        <f>"000070"</f>
        <v>000070</v>
      </c>
      <c r="M16" s="7">
        <v>43187</v>
      </c>
      <c r="N16" s="8">
        <v>17</v>
      </c>
      <c r="O16" s="8" t="str">
        <f>"003442"</f>
        <v>003442</v>
      </c>
      <c r="P16" s="7">
        <v>43662</v>
      </c>
      <c r="Q16" s="12">
        <v>34.996110000000002</v>
      </c>
      <c r="R16" s="12">
        <v>3.1446499999999999</v>
      </c>
      <c r="S16" s="12">
        <v>31.851459999999999</v>
      </c>
      <c r="T16" s="8">
        <v>113</v>
      </c>
      <c r="U16" s="7">
        <v>43663</v>
      </c>
      <c r="V16" s="8">
        <v>9900333496</v>
      </c>
      <c r="W16" s="11" t="s">
        <v>85</v>
      </c>
      <c r="X16" s="8" t="s">
        <v>86</v>
      </c>
      <c r="Y16" s="11" t="s">
        <v>87</v>
      </c>
      <c r="Z16" s="8" t="s">
        <v>35</v>
      </c>
      <c r="AA16" s="11" t="s">
        <v>36</v>
      </c>
      <c r="AB16" s="12">
        <f t="shared" si="1"/>
        <v>0.34996110000000002</v>
      </c>
    </row>
    <row r="17" spans="1:28" s="4" customFormat="1" ht="13" x14ac:dyDescent="0.3">
      <c r="A17" s="5">
        <v>381</v>
      </c>
      <c r="B17" s="6" t="s">
        <v>82</v>
      </c>
      <c r="C17" s="7">
        <v>43663</v>
      </c>
      <c r="D17" s="8">
        <v>9</v>
      </c>
      <c r="E17" s="9" t="s">
        <v>51</v>
      </c>
      <c r="F17" s="8" t="s">
        <v>90</v>
      </c>
      <c r="G17" s="11" t="s">
        <v>91</v>
      </c>
      <c r="H17" s="8" t="str">
        <f>"000026"</f>
        <v>000026</v>
      </c>
      <c r="I17" s="7">
        <v>42762</v>
      </c>
      <c r="J17" s="8" t="str">
        <f>"000062"</f>
        <v>000062</v>
      </c>
      <c r="K17" s="7">
        <v>43187</v>
      </c>
      <c r="L17" s="8" t="str">
        <f>"000071"</f>
        <v>000071</v>
      </c>
      <c r="M17" s="7">
        <v>43187</v>
      </c>
      <c r="N17" s="8">
        <v>17</v>
      </c>
      <c r="O17" s="8" t="str">
        <f>"003443"</f>
        <v>003443</v>
      </c>
      <c r="P17" s="7">
        <v>43662</v>
      </c>
      <c r="Q17" s="12">
        <v>9.9915599999999998</v>
      </c>
      <c r="R17" s="12">
        <v>0.88527</v>
      </c>
      <c r="S17" s="12">
        <v>9.1062899999999996</v>
      </c>
      <c r="T17" s="8">
        <v>113</v>
      </c>
      <c r="U17" s="7">
        <v>43663</v>
      </c>
      <c r="V17" s="8">
        <v>9900333496</v>
      </c>
      <c r="W17" s="11" t="s">
        <v>85</v>
      </c>
      <c r="X17" s="8" t="s">
        <v>86</v>
      </c>
      <c r="Y17" s="11" t="s">
        <v>87</v>
      </c>
      <c r="Z17" s="8" t="s">
        <v>35</v>
      </c>
      <c r="AA17" s="11" t="s">
        <v>36</v>
      </c>
      <c r="AB17" s="12">
        <f t="shared" si="1"/>
        <v>9.9915599999999993E-2</v>
      </c>
    </row>
    <row r="18" spans="1:28" s="4" customFormat="1" ht="13" x14ac:dyDescent="0.3">
      <c r="A18" s="5">
        <v>382</v>
      </c>
      <c r="B18" s="6" t="s">
        <v>82</v>
      </c>
      <c r="C18" s="7">
        <v>43663</v>
      </c>
      <c r="D18" s="8">
        <v>9</v>
      </c>
      <c r="E18" s="9" t="s">
        <v>51</v>
      </c>
      <c r="F18" s="8" t="s">
        <v>92</v>
      </c>
      <c r="G18" s="11" t="s">
        <v>93</v>
      </c>
      <c r="H18" s="8" t="str">
        <f>"000028"</f>
        <v>000028</v>
      </c>
      <c r="I18" s="7">
        <v>42762</v>
      </c>
      <c r="J18" s="8" t="str">
        <f>"000063"</f>
        <v>000063</v>
      </c>
      <c r="K18" s="7">
        <v>43187</v>
      </c>
      <c r="L18" s="8" t="str">
        <f>"000072"</f>
        <v>000072</v>
      </c>
      <c r="M18" s="7">
        <v>43187</v>
      </c>
      <c r="N18" s="8">
        <v>17</v>
      </c>
      <c r="O18" s="8" t="str">
        <f>"003444"</f>
        <v>003444</v>
      </c>
      <c r="P18" s="7">
        <v>43662</v>
      </c>
      <c r="Q18" s="12">
        <v>24.982949999999999</v>
      </c>
      <c r="R18" s="12">
        <v>2.1565500000000002</v>
      </c>
      <c r="S18" s="12">
        <v>22.8264</v>
      </c>
      <c r="T18" s="8">
        <v>113</v>
      </c>
      <c r="U18" s="7">
        <v>43663</v>
      </c>
      <c r="V18" s="8">
        <v>9900333496</v>
      </c>
      <c r="W18" s="11" t="s">
        <v>85</v>
      </c>
      <c r="X18" s="8" t="s">
        <v>86</v>
      </c>
      <c r="Y18" s="11" t="s">
        <v>87</v>
      </c>
      <c r="Z18" s="8" t="s">
        <v>35</v>
      </c>
      <c r="AA18" s="11" t="s">
        <v>36</v>
      </c>
      <c r="AB18" s="12">
        <f t="shared" si="1"/>
        <v>0.24982949999999998</v>
      </c>
    </row>
    <row r="19" spans="1:28" s="4" customFormat="1" ht="13" x14ac:dyDescent="0.3">
      <c r="A19" s="5">
        <v>383</v>
      </c>
      <c r="B19" s="6" t="s">
        <v>82</v>
      </c>
      <c r="C19" s="7">
        <v>43664</v>
      </c>
      <c r="D19" s="8">
        <v>9</v>
      </c>
      <c r="E19" s="9" t="s">
        <v>51</v>
      </c>
      <c r="F19" s="8" t="s">
        <v>94</v>
      </c>
      <c r="G19" s="11" t="s">
        <v>95</v>
      </c>
      <c r="H19" s="8" t="str">
        <f>"000035"</f>
        <v>000035</v>
      </c>
      <c r="I19" s="7">
        <v>42844</v>
      </c>
      <c r="J19" s="8" t="str">
        <f>"000002"</f>
        <v>000002</v>
      </c>
      <c r="K19" s="7">
        <v>43193</v>
      </c>
      <c r="L19" s="8" t="str">
        <f>"000037"</f>
        <v>000037</v>
      </c>
      <c r="M19" s="7">
        <v>43290</v>
      </c>
      <c r="N19" s="8">
        <v>17</v>
      </c>
      <c r="O19" s="8" t="str">
        <f>"003548"</f>
        <v>003548</v>
      </c>
      <c r="P19" s="7">
        <v>43663</v>
      </c>
      <c r="Q19" s="12">
        <v>9.2153899999999993</v>
      </c>
      <c r="R19" s="12">
        <v>0.23027</v>
      </c>
      <c r="S19" s="12">
        <v>8.9851200000000002</v>
      </c>
      <c r="T19" s="8">
        <v>116</v>
      </c>
      <c r="U19" s="7">
        <v>43664</v>
      </c>
      <c r="V19" s="8">
        <v>9019996726</v>
      </c>
      <c r="W19" s="11" t="s">
        <v>96</v>
      </c>
      <c r="X19" s="8" t="s">
        <v>29</v>
      </c>
      <c r="Y19" s="11" t="s">
        <v>30</v>
      </c>
      <c r="Z19" s="8" t="s">
        <v>55</v>
      </c>
      <c r="AA19" s="11" t="s">
        <v>56</v>
      </c>
      <c r="AB19" s="12">
        <f t="shared" si="1"/>
        <v>9.2153899999999997E-2</v>
      </c>
    </row>
    <row r="20" spans="1:28" s="4" customFormat="1" ht="13" x14ac:dyDescent="0.3">
      <c r="A20" s="5">
        <v>384</v>
      </c>
      <c r="B20" s="6" t="s">
        <v>82</v>
      </c>
      <c r="C20" s="7">
        <v>43664</v>
      </c>
      <c r="D20" s="8">
        <v>9</v>
      </c>
      <c r="E20" s="9" t="s">
        <v>51</v>
      </c>
      <c r="F20" s="8" t="s">
        <v>97</v>
      </c>
      <c r="G20" s="11" t="s">
        <v>98</v>
      </c>
      <c r="H20" s="8" t="str">
        <f>"000053"</f>
        <v>000053</v>
      </c>
      <c r="I20" s="7">
        <v>42861</v>
      </c>
      <c r="J20" s="8" t="str">
        <f>"000004"</f>
        <v>000004</v>
      </c>
      <c r="K20" s="7">
        <v>43193</v>
      </c>
      <c r="L20" s="8" t="str">
        <f>"000039"</f>
        <v>000039</v>
      </c>
      <c r="M20" s="7">
        <v>43290</v>
      </c>
      <c r="N20" s="8">
        <v>17</v>
      </c>
      <c r="O20" s="8" t="str">
        <f>"003549"</f>
        <v>003549</v>
      </c>
      <c r="P20" s="7">
        <v>43663</v>
      </c>
      <c r="Q20" s="12">
        <v>27.707999999999998</v>
      </c>
      <c r="R20" s="12">
        <v>0.62851999999999997</v>
      </c>
      <c r="S20" s="12">
        <v>27.07948</v>
      </c>
      <c r="T20" s="8">
        <v>116</v>
      </c>
      <c r="U20" s="7">
        <v>43664</v>
      </c>
      <c r="V20" s="8">
        <v>9019996726</v>
      </c>
      <c r="W20" s="11" t="s">
        <v>99</v>
      </c>
      <c r="X20" s="8" t="s">
        <v>29</v>
      </c>
      <c r="Y20" s="11" t="s">
        <v>30</v>
      </c>
      <c r="Z20" s="8" t="s">
        <v>55</v>
      </c>
      <c r="AA20" s="11" t="s">
        <v>56</v>
      </c>
      <c r="AB20" s="12">
        <f t="shared" si="1"/>
        <v>0.27707999999999999</v>
      </c>
    </row>
    <row r="21" spans="1:28" s="4" customFormat="1" ht="13" x14ac:dyDescent="0.3">
      <c r="A21" s="5">
        <v>385</v>
      </c>
      <c r="B21" s="6" t="s">
        <v>82</v>
      </c>
      <c r="C21" s="7">
        <v>43669</v>
      </c>
      <c r="D21" s="8">
        <v>9</v>
      </c>
      <c r="E21" s="9" t="s">
        <v>51</v>
      </c>
      <c r="F21" s="8" t="s">
        <v>100</v>
      </c>
      <c r="G21" s="11" t="s">
        <v>101</v>
      </c>
      <c r="H21" s="8" t="str">
        <f>"000216"</f>
        <v>000216</v>
      </c>
      <c r="I21" s="7">
        <v>42807</v>
      </c>
      <c r="J21" s="8" t="str">
        <f>"000035"</f>
        <v>000035</v>
      </c>
      <c r="K21" s="7">
        <v>43111</v>
      </c>
      <c r="L21" s="8" t="str">
        <f>"000100"</f>
        <v>000100</v>
      </c>
      <c r="M21" s="7">
        <v>43139</v>
      </c>
      <c r="N21" s="8">
        <v>17</v>
      </c>
      <c r="O21" s="8" t="str">
        <f>"003675"</f>
        <v>003675</v>
      </c>
      <c r="P21" s="7">
        <v>43664</v>
      </c>
      <c r="Q21" s="12">
        <v>19.190619999999999</v>
      </c>
      <c r="R21" s="12">
        <v>0.63383</v>
      </c>
      <c r="S21" s="12">
        <v>18.556789999999999</v>
      </c>
      <c r="T21" s="8">
        <v>122</v>
      </c>
      <c r="U21" s="7">
        <v>43669</v>
      </c>
      <c r="V21" s="8">
        <v>0</v>
      </c>
      <c r="W21" s="11" t="s">
        <v>102</v>
      </c>
      <c r="X21" s="8" t="s">
        <v>38</v>
      </c>
      <c r="Y21" s="11" t="s">
        <v>39</v>
      </c>
      <c r="Z21" s="8" t="s">
        <v>55</v>
      </c>
      <c r="AA21" s="11" t="s">
        <v>56</v>
      </c>
      <c r="AB21" s="12">
        <f t="shared" si="1"/>
        <v>0.1919062</v>
      </c>
    </row>
    <row r="22" spans="1:28" s="4" customFormat="1" ht="13" x14ac:dyDescent="0.3">
      <c r="A22" s="5">
        <v>386</v>
      </c>
      <c r="B22" s="6" t="s">
        <v>82</v>
      </c>
      <c r="C22" s="7">
        <v>43669</v>
      </c>
      <c r="D22" s="8">
        <v>9</v>
      </c>
      <c r="E22" s="9" t="s">
        <v>51</v>
      </c>
      <c r="F22" s="8" t="s">
        <v>103</v>
      </c>
      <c r="G22" s="11" t="s">
        <v>104</v>
      </c>
      <c r="H22" s="8" t="str">
        <f>"000220"</f>
        <v>000220</v>
      </c>
      <c r="I22" s="7">
        <v>42807</v>
      </c>
      <c r="J22" s="8" t="str">
        <f>"000034"</f>
        <v>000034</v>
      </c>
      <c r="K22" s="7">
        <v>43111</v>
      </c>
      <c r="L22" s="8" t="str">
        <f>"000102"</f>
        <v>000102</v>
      </c>
      <c r="M22" s="7">
        <v>43139</v>
      </c>
      <c r="N22" s="8">
        <v>17</v>
      </c>
      <c r="O22" s="8" t="str">
        <f>"003682"</f>
        <v>003682</v>
      </c>
      <c r="P22" s="7">
        <v>43664</v>
      </c>
      <c r="Q22" s="12">
        <v>14.138769999999999</v>
      </c>
      <c r="R22" s="12">
        <v>0.46967999999999999</v>
      </c>
      <c r="S22" s="12">
        <v>13.669090000000001</v>
      </c>
      <c r="T22" s="8">
        <v>122</v>
      </c>
      <c r="U22" s="7">
        <v>43669</v>
      </c>
      <c r="V22" s="8">
        <v>0</v>
      </c>
      <c r="W22" s="11" t="s">
        <v>105</v>
      </c>
      <c r="X22" s="8" t="s">
        <v>38</v>
      </c>
      <c r="Y22" s="11" t="s">
        <v>39</v>
      </c>
      <c r="Z22" s="8" t="s">
        <v>55</v>
      </c>
      <c r="AA22" s="11" t="s">
        <v>56</v>
      </c>
      <c r="AB22" s="12">
        <f t="shared" si="1"/>
        <v>0.14138770000000001</v>
      </c>
    </row>
    <row r="23" spans="1:28" s="4" customFormat="1" ht="13" x14ac:dyDescent="0.3">
      <c r="A23" s="5">
        <v>387</v>
      </c>
      <c r="B23" s="6" t="s">
        <v>106</v>
      </c>
      <c r="C23" s="7">
        <v>43696</v>
      </c>
      <c r="D23" s="8">
        <v>9</v>
      </c>
      <c r="E23" s="9" t="s">
        <v>51</v>
      </c>
      <c r="F23" s="8" t="s">
        <v>107</v>
      </c>
      <c r="G23" s="11" t="s">
        <v>108</v>
      </c>
      <c r="H23" s="8" t="str">
        <f>"000051"</f>
        <v>000051</v>
      </c>
      <c r="I23" s="7">
        <v>43108</v>
      </c>
      <c r="J23" s="8" t="str">
        <f>"000048"</f>
        <v>000048</v>
      </c>
      <c r="K23" s="7">
        <v>43165</v>
      </c>
      <c r="L23" s="8" t="str">
        <f>"000138"</f>
        <v>000138</v>
      </c>
      <c r="M23" s="7">
        <v>43172</v>
      </c>
      <c r="N23" s="8">
        <v>16</v>
      </c>
      <c r="O23" s="8" t="str">
        <f>"004501"</f>
        <v>004501</v>
      </c>
      <c r="P23" s="7">
        <v>43691</v>
      </c>
      <c r="Q23" s="12">
        <v>39.595649999999999</v>
      </c>
      <c r="R23" s="12">
        <v>1.3858600000000001</v>
      </c>
      <c r="S23" s="12">
        <v>38.209789999999998</v>
      </c>
      <c r="T23" s="8">
        <v>158</v>
      </c>
      <c r="U23" s="7">
        <v>43696</v>
      </c>
      <c r="V23" s="8">
        <v>0</v>
      </c>
      <c r="W23" s="11" t="s">
        <v>109</v>
      </c>
      <c r="X23" s="8" t="s">
        <v>42</v>
      </c>
      <c r="Y23" s="11" t="s">
        <v>43</v>
      </c>
      <c r="Z23" s="8" t="s">
        <v>55</v>
      </c>
      <c r="AA23" s="11" t="s">
        <v>56</v>
      </c>
      <c r="AB23" s="12">
        <f t="shared" si="1"/>
        <v>0.39595649999999999</v>
      </c>
    </row>
    <row r="24" spans="1:28" s="4" customFormat="1" ht="13" x14ac:dyDescent="0.3">
      <c r="A24" s="5">
        <v>388</v>
      </c>
      <c r="B24" s="6" t="s">
        <v>106</v>
      </c>
      <c r="C24" s="7">
        <v>43703</v>
      </c>
      <c r="D24" s="8">
        <v>9</v>
      </c>
      <c r="E24" s="9" t="s">
        <v>51</v>
      </c>
      <c r="F24" s="8" t="s">
        <v>110</v>
      </c>
      <c r="G24" s="11" t="s">
        <v>111</v>
      </c>
      <c r="H24" s="8" t="str">
        <f>"000152"</f>
        <v>000152</v>
      </c>
      <c r="I24" s="7">
        <v>43679</v>
      </c>
      <c r="J24" s="8" t="str">
        <f>"000060"</f>
        <v>000060</v>
      </c>
      <c r="K24" s="7">
        <v>43679</v>
      </c>
      <c r="L24" s="8" t="str">
        <f>"000065"</f>
        <v>000065</v>
      </c>
      <c r="M24" s="7">
        <v>43680</v>
      </c>
      <c r="N24" s="8">
        <v>17</v>
      </c>
      <c r="O24" s="8" t="str">
        <f>"004674"</f>
        <v>004674</v>
      </c>
      <c r="P24" s="7">
        <v>43698</v>
      </c>
      <c r="Q24" s="12">
        <v>4.9634099999999997</v>
      </c>
      <c r="R24" s="12">
        <v>0.22613</v>
      </c>
      <c r="S24" s="12">
        <v>4.7372800000000002</v>
      </c>
      <c r="T24" s="8">
        <v>164</v>
      </c>
      <c r="U24" s="7">
        <v>43703</v>
      </c>
      <c r="V24" s="8">
        <v>9448070388</v>
      </c>
      <c r="W24" s="11" t="s">
        <v>112</v>
      </c>
      <c r="X24" s="8" t="s">
        <v>113</v>
      </c>
      <c r="Y24" s="11" t="s">
        <v>114</v>
      </c>
      <c r="Z24" s="8" t="s">
        <v>35</v>
      </c>
      <c r="AA24" s="11" t="s">
        <v>36</v>
      </c>
      <c r="AB24" s="12">
        <f t="shared" si="1"/>
        <v>4.9634099999999994E-2</v>
      </c>
    </row>
    <row r="25" spans="1:28" s="4" customFormat="1" ht="13" x14ac:dyDescent="0.3">
      <c r="A25" s="5">
        <v>389</v>
      </c>
      <c r="B25" s="6" t="s">
        <v>106</v>
      </c>
      <c r="C25" s="7">
        <v>43705</v>
      </c>
      <c r="D25" s="8">
        <v>9</v>
      </c>
      <c r="E25" s="9" t="s">
        <v>51</v>
      </c>
      <c r="F25" s="8" t="s">
        <v>115</v>
      </c>
      <c r="G25" s="11" t="s">
        <v>116</v>
      </c>
      <c r="H25" s="8" t="str">
        <f>"000026"</f>
        <v>000026</v>
      </c>
      <c r="I25" s="7">
        <v>43297</v>
      </c>
      <c r="J25" s="8" t="str">
        <f>"000023"</f>
        <v>000023</v>
      </c>
      <c r="K25" s="7">
        <v>43666</v>
      </c>
      <c r="L25" s="8" t="str">
        <f>"000058"</f>
        <v>000058</v>
      </c>
      <c r="M25" s="7">
        <v>43666</v>
      </c>
      <c r="N25" s="8">
        <v>18</v>
      </c>
      <c r="O25" s="8" t="str">
        <f>"004721"</f>
        <v>004721</v>
      </c>
      <c r="P25" s="7">
        <v>43699</v>
      </c>
      <c r="Q25" s="12">
        <v>1.97</v>
      </c>
      <c r="R25" s="12">
        <v>0.19700000000000001</v>
      </c>
      <c r="S25" s="12">
        <v>1.7729999999999999</v>
      </c>
      <c r="T25" s="8">
        <v>168</v>
      </c>
      <c r="U25" s="7">
        <v>43705</v>
      </c>
      <c r="V25" s="8">
        <v>9972924526</v>
      </c>
      <c r="W25" s="11" t="s">
        <v>117</v>
      </c>
      <c r="X25" s="8" t="s">
        <v>118</v>
      </c>
      <c r="Y25" s="11" t="s">
        <v>119</v>
      </c>
      <c r="Z25" s="8" t="s">
        <v>55</v>
      </c>
      <c r="AA25" s="11" t="s">
        <v>56</v>
      </c>
      <c r="AB25" s="12">
        <f t="shared" si="1"/>
        <v>1.9699999999999999E-2</v>
      </c>
    </row>
    <row r="26" spans="1:28" s="4" customFormat="1" ht="13" x14ac:dyDescent="0.3">
      <c r="A26" s="5">
        <v>390</v>
      </c>
      <c r="B26" s="6" t="s">
        <v>106</v>
      </c>
      <c r="C26" s="7">
        <v>43705</v>
      </c>
      <c r="D26" s="8">
        <v>9</v>
      </c>
      <c r="E26" s="9" t="s">
        <v>51</v>
      </c>
      <c r="F26" s="8" t="s">
        <v>120</v>
      </c>
      <c r="G26" s="11" t="s">
        <v>121</v>
      </c>
      <c r="H26" s="8" t="str">
        <f>"000079"</f>
        <v>000079</v>
      </c>
      <c r="I26" s="7">
        <v>43315</v>
      </c>
      <c r="J26" s="8" t="str">
        <f>"000041"</f>
        <v>000041</v>
      </c>
      <c r="K26" s="7">
        <v>43333</v>
      </c>
      <c r="L26" s="8" t="str">
        <f>"000080"</f>
        <v>000080</v>
      </c>
      <c r="M26" s="7">
        <v>43340</v>
      </c>
      <c r="N26" s="8">
        <v>18</v>
      </c>
      <c r="O26" s="8" t="str">
        <f>"005795"</f>
        <v>005795</v>
      </c>
      <c r="P26" s="7">
        <v>43361</v>
      </c>
      <c r="Q26" s="12">
        <v>1.7</v>
      </c>
      <c r="R26" s="12">
        <v>0.17</v>
      </c>
      <c r="S26" s="12">
        <v>1.53</v>
      </c>
      <c r="T26" s="8">
        <v>168</v>
      </c>
      <c r="U26" s="7">
        <v>43705</v>
      </c>
      <c r="V26" s="8">
        <v>9972924526</v>
      </c>
      <c r="W26" s="11" t="s">
        <v>117</v>
      </c>
      <c r="X26" s="8" t="s">
        <v>118</v>
      </c>
      <c r="Y26" s="11" t="s">
        <v>119</v>
      </c>
      <c r="Z26" s="8" t="s">
        <v>55</v>
      </c>
      <c r="AA26" s="11" t="s">
        <v>56</v>
      </c>
      <c r="AB26" s="12">
        <f t="shared" si="1"/>
        <v>1.7000000000000001E-2</v>
      </c>
    </row>
    <row r="27" spans="1:28" s="4" customFormat="1" ht="13" x14ac:dyDescent="0.3">
      <c r="A27" s="5">
        <v>391</v>
      </c>
      <c r="B27" s="6" t="s">
        <v>122</v>
      </c>
      <c r="C27" s="7">
        <v>43748</v>
      </c>
      <c r="D27" s="5">
        <v>9</v>
      </c>
      <c r="E27" s="9" t="s">
        <v>51</v>
      </c>
      <c r="F27" s="8" t="s">
        <v>60</v>
      </c>
      <c r="G27" s="9" t="s">
        <v>61</v>
      </c>
      <c r="H27" s="8" t="str">
        <f>"000033"</f>
        <v>000033</v>
      </c>
      <c r="I27" s="7">
        <v>42784</v>
      </c>
      <c r="J27" s="8" t="str">
        <f>"000004"</f>
        <v>000004</v>
      </c>
      <c r="K27" s="7">
        <v>43202</v>
      </c>
      <c r="L27" s="8" t="str">
        <f>"000004"</f>
        <v>000004</v>
      </c>
      <c r="M27" s="7">
        <v>43202</v>
      </c>
      <c r="N27" s="8">
        <v>16</v>
      </c>
      <c r="O27" s="8" t="str">
        <f>"004358"</f>
        <v>004358</v>
      </c>
      <c r="P27" s="7">
        <v>43306</v>
      </c>
      <c r="Q27" s="10">
        <v>8.1693999999999996</v>
      </c>
      <c r="R27" s="10">
        <v>1.0483100000000001</v>
      </c>
      <c r="S27" s="10">
        <v>7.1210899999999997</v>
      </c>
      <c r="T27" s="8">
        <v>13</v>
      </c>
      <c r="U27" s="7">
        <v>43748</v>
      </c>
      <c r="V27" s="8">
        <v>9845087137</v>
      </c>
      <c r="W27" s="9" t="s">
        <v>62</v>
      </c>
      <c r="X27" s="8" t="s">
        <v>31</v>
      </c>
      <c r="Y27" s="9" t="s">
        <v>32</v>
      </c>
      <c r="Z27" s="8" t="s">
        <v>33</v>
      </c>
      <c r="AA27" s="9" t="s">
        <v>34</v>
      </c>
      <c r="AB27" s="10">
        <v>8.1693999999999989E-2</v>
      </c>
    </row>
    <row r="28" spans="1:28" s="4" customFormat="1" ht="13" x14ac:dyDescent="0.3">
      <c r="A28" s="5">
        <v>392</v>
      </c>
      <c r="B28" s="6" t="s">
        <v>122</v>
      </c>
      <c r="C28" s="7">
        <v>43768</v>
      </c>
      <c r="D28" s="5">
        <v>9</v>
      </c>
      <c r="E28" s="9" t="s">
        <v>51</v>
      </c>
      <c r="F28" s="8" t="s">
        <v>123</v>
      </c>
      <c r="G28" s="9" t="s">
        <v>124</v>
      </c>
      <c r="H28" s="8" t="str">
        <f>"000014"</f>
        <v>000014</v>
      </c>
      <c r="I28" s="7">
        <v>43287</v>
      </c>
      <c r="J28" s="8" t="str">
        <f>"000031"</f>
        <v>000031</v>
      </c>
      <c r="K28" s="7">
        <v>43698</v>
      </c>
      <c r="L28" s="8" t="str">
        <f>"000072"</f>
        <v>000072</v>
      </c>
      <c r="M28" s="7">
        <v>43698</v>
      </c>
      <c r="N28" s="8">
        <v>17</v>
      </c>
      <c r="O28" s="8" t="str">
        <f>"005988"</f>
        <v>005988</v>
      </c>
      <c r="P28" s="7">
        <v>43763</v>
      </c>
      <c r="Q28" s="10">
        <v>11.952999999999999</v>
      </c>
      <c r="R28" s="10">
        <v>1.18544</v>
      </c>
      <c r="S28" s="10">
        <v>10.76756</v>
      </c>
      <c r="T28" s="8">
        <v>13</v>
      </c>
      <c r="U28" s="7">
        <v>43768</v>
      </c>
      <c r="V28" s="8">
        <v>9449863065</v>
      </c>
      <c r="W28" s="9" t="s">
        <v>59</v>
      </c>
      <c r="X28" s="8" t="s">
        <v>125</v>
      </c>
      <c r="Y28" s="9" t="s">
        <v>126</v>
      </c>
      <c r="Z28" s="8" t="s">
        <v>55</v>
      </c>
      <c r="AA28" s="9" t="s">
        <v>56</v>
      </c>
      <c r="AB28" s="10">
        <v>0.11953</v>
      </c>
    </row>
    <row r="29" spans="1:28" s="4" customFormat="1" ht="13" x14ac:dyDescent="0.3">
      <c r="A29" s="5">
        <v>393</v>
      </c>
      <c r="B29" s="6" t="s">
        <v>127</v>
      </c>
      <c r="C29" s="7">
        <v>43817</v>
      </c>
      <c r="D29" s="5">
        <v>9</v>
      </c>
      <c r="E29" s="9" t="s">
        <v>51</v>
      </c>
      <c r="F29" s="8" t="s">
        <v>128</v>
      </c>
      <c r="G29" s="9" t="s">
        <v>129</v>
      </c>
      <c r="H29" s="8" t="str">
        <f>"00257 "</f>
        <v xml:space="preserve">00257 </v>
      </c>
      <c r="I29" s="7">
        <v>42825</v>
      </c>
      <c r="J29" s="8" t="str">
        <f>"000047"</f>
        <v>000047</v>
      </c>
      <c r="K29" s="7">
        <v>43787</v>
      </c>
      <c r="L29" s="8" t="str">
        <f>"000162"</f>
        <v>000162</v>
      </c>
      <c r="M29" s="7">
        <v>43789</v>
      </c>
      <c r="N29" s="8">
        <v>16</v>
      </c>
      <c r="O29" s="8" t="str">
        <f>"006709"</f>
        <v>006709</v>
      </c>
      <c r="P29" s="7">
        <v>43806</v>
      </c>
      <c r="Q29" s="10">
        <v>11.043749999999999</v>
      </c>
      <c r="R29" s="10">
        <v>1.1043799999999999</v>
      </c>
      <c r="S29" s="10">
        <v>9.9393700000000003</v>
      </c>
      <c r="T29" s="8">
        <v>13</v>
      </c>
      <c r="U29" s="7">
        <v>43817</v>
      </c>
      <c r="V29" s="8">
        <v>9611192254</v>
      </c>
      <c r="W29" s="9" t="s">
        <v>130</v>
      </c>
      <c r="X29" s="8" t="s">
        <v>42</v>
      </c>
      <c r="Y29" s="9" t="s">
        <v>43</v>
      </c>
      <c r="Z29" s="8" t="s">
        <v>55</v>
      </c>
      <c r="AA29" s="9" t="s">
        <v>56</v>
      </c>
      <c r="AB29" s="10">
        <v>0.11043749999999999</v>
      </c>
    </row>
    <row r="30" spans="1:28" s="4" customFormat="1" ht="13" x14ac:dyDescent="0.3">
      <c r="A30" s="5">
        <v>394</v>
      </c>
      <c r="B30" s="6" t="s">
        <v>127</v>
      </c>
      <c r="C30" s="7">
        <v>43818</v>
      </c>
      <c r="D30" s="5">
        <v>9</v>
      </c>
      <c r="E30" s="9" t="s">
        <v>51</v>
      </c>
      <c r="F30" s="8" t="s">
        <v>131</v>
      </c>
      <c r="G30" s="9" t="s">
        <v>132</v>
      </c>
      <c r="H30" s="8" t="str">
        <f>"000238"</f>
        <v>000238</v>
      </c>
      <c r="I30" s="7">
        <v>43523</v>
      </c>
      <c r="J30" s="8" t="str">
        <f>"000039"</f>
        <v>000039</v>
      </c>
      <c r="K30" s="7">
        <v>43747</v>
      </c>
      <c r="L30" s="8" t="str">
        <f>"000126"</f>
        <v>000126</v>
      </c>
      <c r="M30" s="7">
        <v>43747</v>
      </c>
      <c r="N30" s="8">
        <v>19</v>
      </c>
      <c r="O30" s="8" t="str">
        <f>"006803"</f>
        <v>006803</v>
      </c>
      <c r="P30" s="7">
        <v>43811</v>
      </c>
      <c r="Q30" s="10">
        <v>0.16575000000000001</v>
      </c>
      <c r="R30" s="10">
        <v>1.66E-2</v>
      </c>
      <c r="S30" s="10">
        <v>0.14915</v>
      </c>
      <c r="T30" s="8">
        <v>13</v>
      </c>
      <c r="U30" s="7">
        <v>43818</v>
      </c>
      <c r="V30" s="8">
        <v>9886913195</v>
      </c>
      <c r="W30" s="9" t="s">
        <v>133</v>
      </c>
      <c r="X30" s="8" t="s">
        <v>134</v>
      </c>
      <c r="Y30" s="9" t="s">
        <v>135</v>
      </c>
      <c r="Z30" s="8" t="s">
        <v>55</v>
      </c>
      <c r="AA30" s="9" t="s">
        <v>56</v>
      </c>
      <c r="AB30" s="10">
        <v>1.6575000000000001E-3</v>
      </c>
    </row>
    <row r="31" spans="1:28" s="4" customFormat="1" ht="13" x14ac:dyDescent="0.3">
      <c r="A31" s="5">
        <v>395</v>
      </c>
      <c r="B31" s="6" t="s">
        <v>127</v>
      </c>
      <c r="C31" s="7">
        <v>43826</v>
      </c>
      <c r="D31" s="5">
        <v>9</v>
      </c>
      <c r="E31" s="9" t="s">
        <v>51</v>
      </c>
      <c r="F31" s="8" t="s">
        <v>136</v>
      </c>
      <c r="G31" s="9" t="s">
        <v>137</v>
      </c>
      <c r="H31" s="8" t="str">
        <f>"000237"</f>
        <v>000237</v>
      </c>
      <c r="I31" s="7">
        <v>43523</v>
      </c>
      <c r="J31" s="8" t="str">
        <f>"000040"</f>
        <v>000040</v>
      </c>
      <c r="K31" s="7">
        <v>43747</v>
      </c>
      <c r="L31" s="8" t="str">
        <f>"000127"</f>
        <v>000127</v>
      </c>
      <c r="M31" s="7">
        <v>43747</v>
      </c>
      <c r="N31" s="8">
        <v>19</v>
      </c>
      <c r="O31" s="8" t="str">
        <f>"006918"</f>
        <v>006918</v>
      </c>
      <c r="P31" s="7">
        <v>43820</v>
      </c>
      <c r="Q31" s="10">
        <v>0.31431999999999999</v>
      </c>
      <c r="R31" s="10">
        <v>3.1449999999999999E-2</v>
      </c>
      <c r="S31" s="10">
        <v>0.28287000000000001</v>
      </c>
      <c r="T31" s="8">
        <v>13</v>
      </c>
      <c r="U31" s="7">
        <v>43826</v>
      </c>
      <c r="V31" s="8">
        <v>9886913195</v>
      </c>
      <c r="W31" s="9" t="s">
        <v>133</v>
      </c>
      <c r="X31" s="8" t="s">
        <v>118</v>
      </c>
      <c r="Y31" s="9" t="s">
        <v>119</v>
      </c>
      <c r="Z31" s="8" t="s">
        <v>55</v>
      </c>
      <c r="AA31" s="9" t="s">
        <v>56</v>
      </c>
      <c r="AB31" s="10">
        <v>3.1432000000000001E-3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2020-01-28T11:16:00Z</dcterms:modified>
</cp:coreProperties>
</file>