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9" i="1" l="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O24" i="1"/>
  <c r="L24" i="1"/>
  <c r="J24" i="1"/>
  <c r="H24" i="1"/>
  <c r="O23" i="1"/>
  <c r="L23" i="1"/>
  <c r="J23" i="1"/>
  <c r="H23"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<sst xmlns="http://schemas.openxmlformats.org/spreadsheetml/2006/main" count="370" uniqueCount="165">
  <si>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</si>
  <si>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</si>
  <si>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</si>
  <si>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</si>
  <si>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</si>
  <si>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</si>
  <si>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</si>
  <si>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</si>
  <si>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</si>
  <si>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</si>
  <si>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</si>
  <si>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</si>
  <si>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</si>
  <si>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</si>
  <si>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</si>
  <si>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</si>
  <si>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</si>
  <si>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</si>
  <si>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</si>
  <si>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</si>
  <si>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</si>
  <si>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</si>
  <si>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</si>
  <si>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</si>
  <si>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</si>
  <si>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</si>
  <si>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</si>
  <si>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</si>
  <si>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</si>
  <si>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</si>
  <si>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</si>
  <si>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</si>
  <si>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</si>
  <si>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P3296</t>
  </si>
  <si>
    <t>14th Finance Commission Works - Road and Footpath Maintenance</t>
  </si>
  <si>
    <t>P3294</t>
  </si>
  <si>
    <t>14th Finance Commission Works - General Public ToiletandSeptage Maintenance</t>
  </si>
  <si>
    <t>M and R to Street Lights - Replacement of Burnt Bulbs etc. (Package)</t>
  </si>
  <si>
    <t>P0300</t>
  </si>
  <si>
    <t>ddo202</t>
  </si>
  <si>
    <t xml:space="preserve"> Assistant Executive Engineer Gandhinagar West Zone</t>
  </si>
  <si>
    <t>Sri Gayathri Electricals</t>
  </si>
  <si>
    <t>ddo209</t>
  </si>
  <si>
    <t xml:space="preserve"> Assistant Executive Engineer Electrical West Zone</t>
  </si>
  <si>
    <t>Technical Manager  (West) Karnataka Rural Infrastructure Development Limited</t>
  </si>
  <si>
    <t>P3409</t>
  </si>
  <si>
    <t>SFC Untied SC-SP/TSP Grant works</t>
  </si>
  <si>
    <t>P3111</t>
  </si>
  <si>
    <t>State Finance Commission Untied Grant Works</t>
  </si>
  <si>
    <t>Subhash Nagara</t>
  </si>
  <si>
    <t>095-16-000031</t>
  </si>
  <si>
    <t>Construction of individual houses for ST category in ward no-95</t>
  </si>
  <si>
    <t>P2021</t>
  </si>
  <si>
    <t>Purchase of Land and Construction of Houses, Hostels,  Ambedkar Bhavan (Incl Prev yr Bal. Bills)</t>
  </si>
  <si>
    <t>095-16-000001</t>
  </si>
  <si>
    <t>Annual Operation And maintenance Of Street Lights at Subhash nagara and Okalipuram in Ward No- 95 and 96</t>
  </si>
  <si>
    <t>095-19-000002</t>
  </si>
  <si>
    <t>Providing and Improvements to CC Road in Swathanthra Palya C Block Slum and surroundings in ward no 95</t>
  </si>
  <si>
    <t>095-19-000001</t>
  </si>
  <si>
    <t>Providing Asphalting and Improvements to CC Road drain footpath and Culverts to main road and cross roads of V.S.T Colony in ward no 95</t>
  </si>
  <si>
    <t>095-18-000037</t>
  </si>
  <si>
    <t>Drinking water works in ward no 95</t>
  </si>
  <si>
    <t>P3293</t>
  </si>
  <si>
    <t>14th Finance Commission Works - Drinking Water</t>
  </si>
  <si>
    <t>095-18-000038</t>
  </si>
  <si>
    <t>Improvements to roads and footpath works in ward no 95</t>
  </si>
  <si>
    <t>095-18-000042</t>
  </si>
  <si>
    <t>Maintenance of crematorium burial ground and office maintenance in ward no 95</t>
  </si>
  <si>
    <t>P3291</t>
  </si>
  <si>
    <t>14th Fin  -Maintenance of Cremotorium, Burial Grounds</t>
  </si>
  <si>
    <t>095-18-000043</t>
  </si>
  <si>
    <t>Communiity Property Maintenance in ward no 95</t>
  </si>
  <si>
    <t>P3292</t>
  </si>
  <si>
    <t>14th Finance Commission Works - Community Property Maintenance (including Parks)</t>
  </si>
  <si>
    <t>095-18-000044</t>
  </si>
  <si>
    <t>General Public Toilets and Septage maintenance in ward no 95</t>
  </si>
  <si>
    <t>095-17-000032</t>
  </si>
  <si>
    <t>Improvements to Drain at Mysore Deviation road in ward no 95</t>
  </si>
  <si>
    <t>Technical Manager KRIDL West</t>
  </si>
  <si>
    <t>P0190</t>
  </si>
  <si>
    <t>Works sanctioned by Hon Mayor</t>
  </si>
  <si>
    <t>095-17-000036</t>
  </si>
  <si>
    <t xml:space="preserve"> Providing BS slab lane and cross roads at Swathanthrapalya in ward no 95</t>
  </si>
  <si>
    <t>095-17-000025</t>
  </si>
  <si>
    <t>Improvements to footpath at Magadi road Angalaparameshwari Temple to good shed road in ward no 95</t>
  </si>
  <si>
    <t>P3075</t>
  </si>
  <si>
    <t>Special comprehensive development works in Bangalore city (Bangalore city in charge Minister Discretionary Grants)</t>
  </si>
  <si>
    <t>095-17-000026</t>
  </si>
  <si>
    <t>Improvements to CC road at Christian colony Swathanthrapalya in ward no 95</t>
  </si>
  <si>
    <t>095-18-000045</t>
  </si>
  <si>
    <t>Soild waste management works in ward no 95</t>
  </si>
  <si>
    <t>P3298</t>
  </si>
  <si>
    <t>14th Finance Commission Works - SWM Works</t>
  </si>
  <si>
    <t>095-18-000046</t>
  </si>
  <si>
    <t>UGD works in ward no 95</t>
  </si>
  <si>
    <t>P3295</t>
  </si>
  <si>
    <t>14th Finance Commission Works - UGD Works</t>
  </si>
  <si>
    <t>095-15-000026</t>
  </si>
  <si>
    <t xml:space="preserve">Providing Asphalting to Balance portion to Swathantrapalya and Neelagiri Papanna block in ward no 95 </t>
  </si>
  <si>
    <t>M S Venkatesh</t>
  </si>
  <si>
    <t>P1732</t>
  </si>
  <si>
    <t>Road network arterial roads (Project Division and Major Road Division)</t>
  </si>
  <si>
    <t>ddo326</t>
  </si>
  <si>
    <t xml:space="preserve"> Executive Engineer SWM 1 Central Zone</t>
  </si>
  <si>
    <t>095-15-000025</t>
  </si>
  <si>
    <t>Providing Asphalting to Sanjayagandhi nagar main road platform road to Ganesha temple in ward no 95</t>
  </si>
  <si>
    <t>095-15-000023</t>
  </si>
  <si>
    <t>Providing Asphalting to MD Block road in ward no 95</t>
  </si>
  <si>
    <t>095-17-000035</t>
  </si>
  <si>
    <t xml:space="preserve"> Providing RCC drain at 5th main road from Narayan Rao colony to SWD in ward no 95</t>
  </si>
  <si>
    <t>095-16-000005</t>
  </si>
  <si>
    <t>Filling pot holes and  road cuttings for Main  And Cross Roads in Ward No-95</t>
  </si>
  <si>
    <t xml:space="preserve">Venktadri K </t>
  </si>
  <si>
    <t>095-17-000033</t>
  </si>
  <si>
    <t>Providing Ornamental Grill to Mysore Deviation road in ward no 95</t>
  </si>
  <si>
    <t>095-15-000024</t>
  </si>
  <si>
    <t>Providing Asphalting to Hanumanthapura main road and surrounding roads in ward no 95</t>
  </si>
  <si>
    <t>M.S Venkatesh</t>
  </si>
  <si>
    <t>July</t>
  </si>
  <si>
    <t>095-19-000014</t>
  </si>
  <si>
    <t>Desilting of drains and surrounding area in ward no-95</t>
  </si>
  <si>
    <t>Technical Manager (West) Karnataka Rural Infrastructure Development Limited</t>
  </si>
  <si>
    <t>P1878</t>
  </si>
  <si>
    <t>18per - Works (Bhagyajyothi, Sooru / Neeru Yojane and General) (54 Lakhs / New Wards)</t>
  </si>
  <si>
    <t>095-19-000016</t>
  </si>
  <si>
    <t>CC roads to Ambedkarnagar slum and surrounding area in ward no-95</t>
  </si>
  <si>
    <t>095-16-000012</t>
  </si>
  <si>
    <t>Providing new borewells to Ambedkar Nagar Slum, Lakshman Rao Nagar And Vivekananda Colony in Ward No-95</t>
  </si>
  <si>
    <t>Ramesh Raju N</t>
  </si>
  <si>
    <t>P1802</t>
  </si>
  <si>
    <t>Water Supply New Areas</t>
  </si>
  <si>
    <t>095-16-000014</t>
  </si>
  <si>
    <t>Providing Pipe Lining to existing borewell in Lakshman Rao Nagar in Ward No-95</t>
  </si>
  <si>
    <t>August</t>
  </si>
  <si>
    <t>095-16-000013</t>
  </si>
  <si>
    <t>Providing Pipe Lining to existing borewell in Avalamma Choutry Area in Ward No-95</t>
  </si>
  <si>
    <t>095-19-000015</t>
  </si>
  <si>
    <t>CC roads to Kasthurinagar and surrounding area in ward no-95</t>
  </si>
  <si>
    <t>095-17-000002</t>
  </si>
  <si>
    <t>Improvements to BBMP play ground at Shastrinagar in ward no 95</t>
  </si>
  <si>
    <t>095-12-000024</t>
  </si>
  <si>
    <t>Improvement to footpath from Goodshed road to Ayyappa Swamy temple in ward no 95</t>
  </si>
  <si>
    <t>P0541</t>
  </si>
  <si>
    <t>Emergency Reserve Fund</t>
  </si>
  <si>
    <t>095-12-000025</t>
  </si>
  <si>
    <t>Improvements to footpath from Ayyappa Swamy temple to railway station entrance in ward no 95</t>
  </si>
  <si>
    <t>095-11-000078</t>
  </si>
  <si>
    <t>Construction of New RCC drain at Railway Under bridge vatal Nagaraj road in ward no. 95 (Ch. 184.00 to 200.00 Mtrs)</t>
  </si>
  <si>
    <t>September</t>
  </si>
  <si>
    <t>095-18-000028</t>
  </si>
  <si>
    <t>Providing Pedestrain drain from Ganesha Temple to Okalipuram circle in ward no 95</t>
  </si>
  <si>
    <t>P3333</t>
  </si>
  <si>
    <t>Special Development works at Ward No.07,08,21,33,58,66,68,75,76,91,94,95,110,116,153,180,190,198,88,18 ( 20 wards Rs.5.00 Cr. Each)</t>
  </si>
  <si>
    <t>095-19-000009</t>
  </si>
  <si>
    <t>Comprehensive Development of selected works, maintenance of street lights, burial ground, community properties, public toilets, providing and improvements to roads, footpath, drains and UGD works in ward No 95 and 96</t>
  </si>
  <si>
    <t>Aishwarya Infrastrucure and Developers</t>
  </si>
  <si>
    <t>095-17-000023</t>
  </si>
  <si>
    <t>Maintananace BBMP Buildings In Ward-95</t>
  </si>
  <si>
    <t>Venktadri K</t>
  </si>
  <si>
    <t>095-18-000030</t>
  </si>
  <si>
    <t>Housekeeping and Security for Bangalore One Building in Srirampura ward no 95</t>
  </si>
  <si>
    <t>M R Malini (M/s M.R Malini Enterprises)</t>
  </si>
  <si>
    <t>P2015</t>
  </si>
  <si>
    <t>Security and House Keeping and Other Maintenance Works</t>
  </si>
  <si>
    <t>November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</si>
</sst>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tabSelected="1" topLeftCell="A34" workbookViewId="0">
      <selection activeCell="A2" sqref="A2:XFD39"/>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3185</v>
      </c>
      <c r="B2" s="5" t="s">
        <v>28</v>
      </c>
      <c r="C2" s="6">
        <v>43566</v>
      </c>
      <c r="D2" s="7">
        <v>95</v>
      </c>
      <c r="E2" s="8" t="s">
        <v>49</v>
      </c>
      <c r="F2" s="7" t="s">
        <v>50</v>
      </c>
      <c r="G2" s="8" t="s">
        <v>51</v>
      </c>
      <c r="H2" s="7" t="str">
        <f>"000163"</f>
        <v>000163</v>
      </c>
      <c r="I2" s="6">
        <v>43417</v>
      </c>
      <c r="J2" s="7" t="str">
        <f>"000116"</f>
        <v>000116</v>
      </c>
      <c r="K2" s="6">
        <v>43417</v>
      </c>
      <c r="L2" s="7" t="str">
        <f>"000163"</f>
        <v>000163</v>
      </c>
      <c r="M2" s="6">
        <v>43417</v>
      </c>
      <c r="N2" s="7">
        <v>16</v>
      </c>
      <c r="O2" s="7" t="str">
        <f>"000291"</f>
        <v>000291</v>
      </c>
      <c r="P2" s="6">
        <v>43565</v>
      </c>
      <c r="Q2" s="9">
        <v>2.0333600000000001</v>
      </c>
      <c r="R2" s="9">
        <v>0.21853</v>
      </c>
      <c r="S2" s="9">
        <v>1.8148299999999999</v>
      </c>
      <c r="T2" s="7">
        <v>15</v>
      </c>
      <c r="U2" s="6">
        <v>43566</v>
      </c>
      <c r="V2" s="7">
        <v>9483161122</v>
      </c>
      <c r="W2" s="8" t="s">
        <v>44</v>
      </c>
      <c r="X2" s="7" t="s">
        <v>52</v>
      </c>
      <c r="Y2" s="8" t="s">
        <v>53</v>
      </c>
      <c r="Z2" s="7" t="s">
        <v>39</v>
      </c>
      <c r="AA2" s="8" t="s">
        <v>40</v>
      </c>
      <c r="AB2" s="9">
        <f t="shared" ref="AB2:AB21" si="0">Q2/100</f>
        <v>2.03336E-2</v>
      </c>
    </row>
    <row r="3" spans="1:28" x14ac:dyDescent="0.35">
      <c r="A3" s="4">
        <v>3186</v>
      </c>
      <c r="B3" s="5" t="s">
        <v>28</v>
      </c>
      <c r="C3" s="6">
        <v>43575</v>
      </c>
      <c r="D3" s="7">
        <v>95</v>
      </c>
      <c r="E3" s="8" t="s">
        <v>49</v>
      </c>
      <c r="F3" s="7" t="s">
        <v>54</v>
      </c>
      <c r="G3" s="8" t="s">
        <v>55</v>
      </c>
      <c r="H3" s="7" t="str">
        <f>"000037"</f>
        <v>000037</v>
      </c>
      <c r="I3" s="6">
        <v>42943</v>
      </c>
      <c r="J3" s="7" t="str">
        <f>"000221"</f>
        <v>000221</v>
      </c>
      <c r="K3" s="6">
        <v>43514</v>
      </c>
      <c r="L3" s="7" t="str">
        <f>"000220"</f>
        <v>000220</v>
      </c>
      <c r="M3" s="6">
        <v>43514</v>
      </c>
      <c r="N3" s="7">
        <v>16</v>
      </c>
      <c r="O3" s="7" t="str">
        <f>"001384"</f>
        <v>001384</v>
      </c>
      <c r="P3" s="6">
        <v>43594</v>
      </c>
      <c r="Q3" s="9">
        <v>12.415089999999999</v>
      </c>
      <c r="R3" s="9">
        <v>0.63317000000000001</v>
      </c>
      <c r="S3" s="9">
        <v>11.78192</v>
      </c>
      <c r="T3" s="7">
        <v>20</v>
      </c>
      <c r="U3" s="6">
        <v>43575</v>
      </c>
      <c r="V3" s="7">
        <v>9845036718</v>
      </c>
      <c r="W3" s="8" t="s">
        <v>41</v>
      </c>
      <c r="X3" s="7" t="s">
        <v>38</v>
      </c>
      <c r="Y3" s="8" t="s">
        <v>37</v>
      </c>
      <c r="Z3" s="7" t="s">
        <v>42</v>
      </c>
      <c r="AA3" s="8" t="s">
        <v>43</v>
      </c>
      <c r="AB3" s="9">
        <f t="shared" si="0"/>
        <v>0.12415089999999999</v>
      </c>
    </row>
    <row r="4" spans="1:28" x14ac:dyDescent="0.35">
      <c r="A4" s="4">
        <v>3187</v>
      </c>
      <c r="B4" s="5" t="s">
        <v>32</v>
      </c>
      <c r="C4" s="6">
        <v>43588</v>
      </c>
      <c r="D4" s="7">
        <v>95</v>
      </c>
      <c r="E4" s="8" t="s">
        <v>49</v>
      </c>
      <c r="F4" s="7" t="s">
        <v>56</v>
      </c>
      <c r="G4" s="8" t="s">
        <v>57</v>
      </c>
      <c r="H4" s="7" t="str">
        <f>"000020"</f>
        <v>000020</v>
      </c>
      <c r="I4" s="6">
        <v>43565</v>
      </c>
      <c r="J4" s="7" t="str">
        <f>"000005"</f>
        <v>000005</v>
      </c>
      <c r="K4" s="6">
        <v>43565</v>
      </c>
      <c r="L4" s="7" t="str">
        <f>"000005"</f>
        <v>000005</v>
      </c>
      <c r="M4" s="6">
        <v>43565</v>
      </c>
      <c r="N4" s="7">
        <v>19</v>
      </c>
      <c r="O4" s="7" t="str">
        <f>"001128"</f>
        <v>001128</v>
      </c>
      <c r="P4" s="6">
        <v>43581</v>
      </c>
      <c r="Q4" s="9">
        <v>66.491140000000001</v>
      </c>
      <c r="R4" s="9">
        <v>8.0474899999999998</v>
      </c>
      <c r="S4" s="9">
        <v>58.443649999999998</v>
      </c>
      <c r="T4" s="7">
        <v>34</v>
      </c>
      <c r="U4" s="6">
        <v>43588</v>
      </c>
      <c r="V4" s="7">
        <v>1234567890</v>
      </c>
      <c r="W4" s="8" t="s">
        <v>44</v>
      </c>
      <c r="X4" s="7" t="s">
        <v>45</v>
      </c>
      <c r="Y4" s="8" t="s">
        <v>46</v>
      </c>
      <c r="Z4" s="7" t="s">
        <v>39</v>
      </c>
      <c r="AA4" s="8" t="s">
        <v>40</v>
      </c>
      <c r="AB4" s="9">
        <f t="shared" si="0"/>
        <v>0.66491140000000004</v>
      </c>
    </row>
    <row r="5" spans="1:28" x14ac:dyDescent="0.35">
      <c r="A5" s="4">
        <v>3188</v>
      </c>
      <c r="B5" s="5" t="s">
        <v>32</v>
      </c>
      <c r="C5" s="6">
        <v>43588</v>
      </c>
      <c r="D5" s="7">
        <v>95</v>
      </c>
      <c r="E5" s="8" t="s">
        <v>49</v>
      </c>
      <c r="F5" s="7" t="s">
        <v>58</v>
      </c>
      <c r="G5" s="8" t="s">
        <v>59</v>
      </c>
      <c r="H5" s="7" t="str">
        <f>"000018"</f>
        <v>000018</v>
      </c>
      <c r="I5" s="6">
        <v>43565</v>
      </c>
      <c r="J5" s="7" t="str">
        <f>"000004"</f>
        <v>000004</v>
      </c>
      <c r="K5" s="6">
        <v>43565</v>
      </c>
      <c r="L5" s="7" t="str">
        <f>"000004"</f>
        <v>000004</v>
      </c>
      <c r="M5" s="6">
        <v>43565</v>
      </c>
      <c r="N5" s="7">
        <v>19</v>
      </c>
      <c r="O5" s="7" t="str">
        <f>"001133"</f>
        <v>001133</v>
      </c>
      <c r="P5" s="6">
        <v>43581</v>
      </c>
      <c r="Q5" s="9">
        <v>153.78892999999999</v>
      </c>
      <c r="R5" s="9">
        <v>18.39303</v>
      </c>
      <c r="S5" s="9">
        <v>135.39590000000001</v>
      </c>
      <c r="T5" s="7">
        <v>34</v>
      </c>
      <c r="U5" s="6">
        <v>43588</v>
      </c>
      <c r="V5" s="7">
        <v>1234567890</v>
      </c>
      <c r="W5" s="8" t="s">
        <v>44</v>
      </c>
      <c r="X5" s="7" t="s">
        <v>47</v>
      </c>
      <c r="Y5" s="8" t="s">
        <v>48</v>
      </c>
      <c r="Z5" s="7" t="s">
        <v>39</v>
      </c>
      <c r="AA5" s="8" t="s">
        <v>40</v>
      </c>
      <c r="AB5" s="9">
        <f t="shared" si="0"/>
        <v>1.5378893</v>
      </c>
    </row>
    <row r="6" spans="1:28" x14ac:dyDescent="0.35">
      <c r="A6" s="4">
        <v>3189</v>
      </c>
      <c r="B6" s="5" t="s">
        <v>32</v>
      </c>
      <c r="C6" s="6">
        <v>43598</v>
      </c>
      <c r="D6" s="7">
        <v>95</v>
      </c>
      <c r="E6" s="8" t="s">
        <v>49</v>
      </c>
      <c r="F6" s="7" t="s">
        <v>54</v>
      </c>
      <c r="G6" s="8" t="s">
        <v>55</v>
      </c>
      <c r="H6" s="7" t="str">
        <f>"000037"</f>
        <v>000037</v>
      </c>
      <c r="I6" s="6">
        <v>42943</v>
      </c>
      <c r="J6" s="7" t="str">
        <f>"000221"</f>
        <v>000221</v>
      </c>
      <c r="K6" s="6">
        <v>43514</v>
      </c>
      <c r="L6" s="7" t="str">
        <f>"000220"</f>
        <v>000220</v>
      </c>
      <c r="M6" s="6">
        <v>43514</v>
      </c>
      <c r="N6" s="7">
        <v>16</v>
      </c>
      <c r="O6" s="7" t="str">
        <f>"001384"</f>
        <v>001384</v>
      </c>
      <c r="P6" s="6">
        <v>43594</v>
      </c>
      <c r="Q6" s="9">
        <v>12.62433</v>
      </c>
      <c r="R6" s="9">
        <v>1.2750600000000001</v>
      </c>
      <c r="S6" s="9">
        <v>11.349270000000001</v>
      </c>
      <c r="T6" s="7">
        <v>43</v>
      </c>
      <c r="U6" s="6">
        <v>43598</v>
      </c>
      <c r="V6" s="7">
        <v>9845036718</v>
      </c>
      <c r="W6" s="8" t="s">
        <v>41</v>
      </c>
      <c r="X6" s="7" t="s">
        <v>38</v>
      </c>
      <c r="Y6" s="8" t="s">
        <v>37</v>
      </c>
      <c r="Z6" s="7" t="s">
        <v>42</v>
      </c>
      <c r="AA6" s="8" t="s">
        <v>43</v>
      </c>
      <c r="AB6" s="9">
        <f t="shared" si="0"/>
        <v>0.1262433</v>
      </c>
    </row>
    <row r="7" spans="1:28" x14ac:dyDescent="0.35">
      <c r="A7" s="4">
        <v>3190</v>
      </c>
      <c r="B7" s="5" t="s">
        <v>32</v>
      </c>
      <c r="C7" s="6">
        <v>43600</v>
      </c>
      <c r="D7" s="7">
        <v>95</v>
      </c>
      <c r="E7" s="8" t="s">
        <v>49</v>
      </c>
      <c r="F7" s="7" t="s">
        <v>60</v>
      </c>
      <c r="G7" s="8" t="s">
        <v>61</v>
      </c>
      <c r="H7" s="7" t="str">
        <f>"000285"</f>
        <v>000285</v>
      </c>
      <c r="I7" s="6">
        <v>43542</v>
      </c>
      <c r="J7" s="7" t="str">
        <f>"000185"</f>
        <v>000185</v>
      </c>
      <c r="K7" s="6">
        <v>43545</v>
      </c>
      <c r="L7" s="7" t="str">
        <f>"000280"</f>
        <v>000280</v>
      </c>
      <c r="M7" s="6">
        <v>43544</v>
      </c>
      <c r="N7" s="7">
        <v>18</v>
      </c>
      <c r="O7" s="7" t="str">
        <f>"001591"</f>
        <v>001591</v>
      </c>
      <c r="P7" s="6">
        <v>43600</v>
      </c>
      <c r="Q7" s="9">
        <v>19.975719999999999</v>
      </c>
      <c r="R7" s="9">
        <v>2.5769600000000001</v>
      </c>
      <c r="S7" s="9">
        <v>17.398759999999999</v>
      </c>
      <c r="T7" s="7">
        <v>46</v>
      </c>
      <c r="U7" s="6">
        <v>43600</v>
      </c>
      <c r="V7" s="7">
        <v>9483161122</v>
      </c>
      <c r="W7" s="8" t="s">
        <v>44</v>
      </c>
      <c r="X7" s="7" t="s">
        <v>62</v>
      </c>
      <c r="Y7" s="8" t="s">
        <v>63</v>
      </c>
      <c r="Z7" s="7" t="s">
        <v>39</v>
      </c>
      <c r="AA7" s="8" t="s">
        <v>40</v>
      </c>
      <c r="AB7" s="9">
        <f t="shared" si="0"/>
        <v>0.1997572</v>
      </c>
    </row>
    <row r="8" spans="1:28" x14ac:dyDescent="0.35">
      <c r="A8" s="4">
        <v>3191</v>
      </c>
      <c r="B8" s="5" t="s">
        <v>32</v>
      </c>
      <c r="C8" s="6">
        <v>43600</v>
      </c>
      <c r="D8" s="7">
        <v>95</v>
      </c>
      <c r="E8" s="8" t="s">
        <v>49</v>
      </c>
      <c r="F8" s="7" t="s">
        <v>64</v>
      </c>
      <c r="G8" s="8" t="s">
        <v>65</v>
      </c>
      <c r="H8" s="7" t="str">
        <f>"000286"</f>
        <v>000286</v>
      </c>
      <c r="I8" s="6">
        <v>43542</v>
      </c>
      <c r="J8" s="7" t="str">
        <f>"000190"</f>
        <v>000190</v>
      </c>
      <c r="K8" s="6">
        <v>43545</v>
      </c>
      <c r="L8" s="7" t="str">
        <f>"000285"</f>
        <v>000285</v>
      </c>
      <c r="M8" s="6">
        <v>43544</v>
      </c>
      <c r="N8" s="7">
        <v>18</v>
      </c>
      <c r="O8" s="7" t="str">
        <f>"001592"</f>
        <v>001592</v>
      </c>
      <c r="P8" s="6">
        <v>43600</v>
      </c>
      <c r="Q8" s="9">
        <v>14.99952</v>
      </c>
      <c r="R8" s="9">
        <v>2.1174499999999998</v>
      </c>
      <c r="S8" s="9">
        <v>12.882070000000001</v>
      </c>
      <c r="T8" s="7">
        <v>46</v>
      </c>
      <c r="U8" s="6">
        <v>43600</v>
      </c>
      <c r="V8" s="7">
        <v>9483161122</v>
      </c>
      <c r="W8" s="8" t="s">
        <v>44</v>
      </c>
      <c r="X8" s="7" t="s">
        <v>33</v>
      </c>
      <c r="Y8" s="8" t="s">
        <v>34</v>
      </c>
      <c r="Z8" s="7" t="s">
        <v>39</v>
      </c>
      <c r="AA8" s="8" t="s">
        <v>40</v>
      </c>
      <c r="AB8" s="9">
        <f t="shared" si="0"/>
        <v>0.1499952</v>
      </c>
    </row>
    <row r="9" spans="1:28" x14ac:dyDescent="0.35">
      <c r="A9" s="4">
        <v>3192</v>
      </c>
      <c r="B9" s="5" t="s">
        <v>32</v>
      </c>
      <c r="C9" s="6">
        <v>43600</v>
      </c>
      <c r="D9" s="7">
        <v>95</v>
      </c>
      <c r="E9" s="8" t="s">
        <v>49</v>
      </c>
      <c r="F9" s="7" t="s">
        <v>66</v>
      </c>
      <c r="G9" s="8" t="s">
        <v>67</v>
      </c>
      <c r="H9" s="7" t="str">
        <f>"000287"</f>
        <v>000287</v>
      </c>
      <c r="I9" s="6">
        <v>43542</v>
      </c>
      <c r="J9" s="7" t="str">
        <f>"000188"</f>
        <v>000188</v>
      </c>
      <c r="K9" s="6">
        <v>43545</v>
      </c>
      <c r="L9" s="7" t="str">
        <f>"000283"</f>
        <v>000283</v>
      </c>
      <c r="M9" s="6">
        <v>43544</v>
      </c>
      <c r="N9" s="7">
        <v>18</v>
      </c>
      <c r="O9" s="7" t="str">
        <f>"001593"</f>
        <v>001593</v>
      </c>
      <c r="P9" s="6">
        <v>43600</v>
      </c>
      <c r="Q9" s="9">
        <v>4.9973999999999998</v>
      </c>
      <c r="R9" s="9">
        <v>0.77915000000000001</v>
      </c>
      <c r="S9" s="9">
        <v>4.2182500000000003</v>
      </c>
      <c r="T9" s="7">
        <v>46</v>
      </c>
      <c r="U9" s="6">
        <v>43600</v>
      </c>
      <c r="V9" s="7">
        <v>9483161122</v>
      </c>
      <c r="W9" s="8" t="s">
        <v>44</v>
      </c>
      <c r="X9" s="7" t="s">
        <v>68</v>
      </c>
      <c r="Y9" s="8" t="s">
        <v>69</v>
      </c>
      <c r="Z9" s="7" t="s">
        <v>39</v>
      </c>
      <c r="AA9" s="8" t="s">
        <v>40</v>
      </c>
      <c r="AB9" s="9">
        <f t="shared" si="0"/>
        <v>4.9973999999999998E-2</v>
      </c>
    </row>
    <row r="10" spans="1:28" x14ac:dyDescent="0.35">
      <c r="A10" s="4">
        <v>3193</v>
      </c>
      <c r="B10" s="5" t="s">
        <v>32</v>
      </c>
      <c r="C10" s="6">
        <v>43600</v>
      </c>
      <c r="D10" s="7">
        <v>95</v>
      </c>
      <c r="E10" s="8" t="s">
        <v>49</v>
      </c>
      <c r="F10" s="7" t="s">
        <v>70</v>
      </c>
      <c r="G10" s="8" t="s">
        <v>71</v>
      </c>
      <c r="H10" s="7" t="str">
        <f>"000288"</f>
        <v>000288</v>
      </c>
      <c r="I10" s="6">
        <v>43542</v>
      </c>
      <c r="J10" s="7" t="str">
        <f>"000191"</f>
        <v>000191</v>
      </c>
      <c r="K10" s="6">
        <v>43545</v>
      </c>
      <c r="L10" s="7" t="str">
        <f>"000286"</f>
        <v>000286</v>
      </c>
      <c r="M10" s="6">
        <v>43544</v>
      </c>
      <c r="N10" s="7">
        <v>18</v>
      </c>
      <c r="O10" s="7" t="str">
        <f>"001594"</f>
        <v>001594</v>
      </c>
      <c r="P10" s="6">
        <v>43600</v>
      </c>
      <c r="Q10" s="9">
        <v>4.9564899999999996</v>
      </c>
      <c r="R10" s="9">
        <v>0.77100999999999997</v>
      </c>
      <c r="S10" s="9">
        <v>4.1854800000000001</v>
      </c>
      <c r="T10" s="7">
        <v>46</v>
      </c>
      <c r="U10" s="6">
        <v>43600</v>
      </c>
      <c r="V10" s="7">
        <v>9483161122</v>
      </c>
      <c r="W10" s="8" t="s">
        <v>44</v>
      </c>
      <c r="X10" s="7" t="s">
        <v>72</v>
      </c>
      <c r="Y10" s="8" t="s">
        <v>73</v>
      </c>
      <c r="Z10" s="7" t="s">
        <v>39</v>
      </c>
      <c r="AA10" s="8" t="s">
        <v>40</v>
      </c>
      <c r="AB10" s="9">
        <f t="shared" si="0"/>
        <v>4.9564899999999995E-2</v>
      </c>
    </row>
    <row r="11" spans="1:28" x14ac:dyDescent="0.35">
      <c r="A11" s="4">
        <v>3194</v>
      </c>
      <c r="B11" s="5" t="s">
        <v>32</v>
      </c>
      <c r="C11" s="6">
        <v>43600</v>
      </c>
      <c r="D11" s="7">
        <v>95</v>
      </c>
      <c r="E11" s="8" t="s">
        <v>49</v>
      </c>
      <c r="F11" s="7" t="s">
        <v>74</v>
      </c>
      <c r="G11" s="8" t="s">
        <v>75</v>
      </c>
      <c r="H11" s="7" t="str">
        <f>"000289"</f>
        <v>000289</v>
      </c>
      <c r="I11" s="6">
        <v>43542</v>
      </c>
      <c r="J11" s="7" t="str">
        <f>"000192"</f>
        <v>000192</v>
      </c>
      <c r="K11" s="6">
        <v>43545</v>
      </c>
      <c r="L11" s="7" t="str">
        <f>"000287"</f>
        <v>000287</v>
      </c>
      <c r="M11" s="6">
        <v>43544</v>
      </c>
      <c r="N11" s="7">
        <v>18</v>
      </c>
      <c r="O11" s="7" t="str">
        <f>"001595"</f>
        <v>001595</v>
      </c>
      <c r="P11" s="6">
        <v>43600</v>
      </c>
      <c r="Q11" s="9">
        <v>4.8890799999999999</v>
      </c>
      <c r="R11" s="9">
        <v>0.65903</v>
      </c>
      <c r="S11" s="9">
        <v>4.2300500000000003</v>
      </c>
      <c r="T11" s="7">
        <v>46</v>
      </c>
      <c r="U11" s="6">
        <v>43600</v>
      </c>
      <c r="V11" s="7">
        <v>9483161122</v>
      </c>
      <c r="W11" s="8" t="s">
        <v>44</v>
      </c>
      <c r="X11" s="7" t="s">
        <v>35</v>
      </c>
      <c r="Y11" s="8" t="s">
        <v>36</v>
      </c>
      <c r="Z11" s="7" t="s">
        <v>39</v>
      </c>
      <c r="AA11" s="8" t="s">
        <v>40</v>
      </c>
      <c r="AB11" s="9">
        <f t="shared" si="0"/>
        <v>4.8890799999999998E-2</v>
      </c>
    </row>
    <row r="12" spans="1:28" x14ac:dyDescent="0.35">
      <c r="A12" s="4">
        <v>3195</v>
      </c>
      <c r="B12" s="5" t="s">
        <v>32</v>
      </c>
      <c r="C12" s="6">
        <v>43602</v>
      </c>
      <c r="D12" s="7">
        <v>95</v>
      </c>
      <c r="E12" s="8" t="s">
        <v>49</v>
      </c>
      <c r="F12" s="7" t="s">
        <v>76</v>
      </c>
      <c r="G12" s="8" t="s">
        <v>77</v>
      </c>
      <c r="H12" s="7" t="str">
        <f>"000272"</f>
        <v>000272</v>
      </c>
      <c r="I12" s="6">
        <v>42913</v>
      </c>
      <c r="J12" s="7" t="str">
        <f>"000094"</f>
        <v>000094</v>
      </c>
      <c r="K12" s="6">
        <v>42916</v>
      </c>
      <c r="L12" s="7" t="str">
        <f>"000409"</f>
        <v>000409</v>
      </c>
      <c r="M12" s="6">
        <v>43005</v>
      </c>
      <c r="N12" s="7">
        <v>17</v>
      </c>
      <c r="O12" s="7" t="str">
        <f>"001560"</f>
        <v>001560</v>
      </c>
      <c r="P12" s="6">
        <v>43599</v>
      </c>
      <c r="Q12" s="9">
        <v>19.579270000000001</v>
      </c>
      <c r="R12" s="9">
        <v>2.6138499999999998</v>
      </c>
      <c r="S12" s="9">
        <v>16.965420000000002</v>
      </c>
      <c r="T12" s="7">
        <v>49</v>
      </c>
      <c r="U12" s="6">
        <v>43602</v>
      </c>
      <c r="V12" s="7">
        <v>9483161122</v>
      </c>
      <c r="W12" s="8" t="s">
        <v>78</v>
      </c>
      <c r="X12" s="7" t="s">
        <v>79</v>
      </c>
      <c r="Y12" s="8" t="s">
        <v>80</v>
      </c>
      <c r="Z12" s="7" t="s">
        <v>39</v>
      </c>
      <c r="AA12" s="8" t="s">
        <v>40</v>
      </c>
      <c r="AB12" s="9">
        <f t="shared" si="0"/>
        <v>0.19579270000000001</v>
      </c>
    </row>
    <row r="13" spans="1:28" x14ac:dyDescent="0.35">
      <c r="A13" s="4">
        <v>3196</v>
      </c>
      <c r="B13" s="5" t="s">
        <v>32</v>
      </c>
      <c r="C13" s="6">
        <v>43602</v>
      </c>
      <c r="D13" s="7">
        <v>95</v>
      </c>
      <c r="E13" s="8" t="s">
        <v>49</v>
      </c>
      <c r="F13" s="7" t="s">
        <v>81</v>
      </c>
      <c r="G13" s="8" t="s">
        <v>82</v>
      </c>
      <c r="H13" s="7" t="str">
        <f>"000271"</f>
        <v>000271</v>
      </c>
      <c r="I13" s="6">
        <v>42913</v>
      </c>
      <c r="J13" s="7" t="str">
        <f>"000093"</f>
        <v>000093</v>
      </c>
      <c r="K13" s="6">
        <v>42916</v>
      </c>
      <c r="L13" s="7" t="str">
        <f>"000410"</f>
        <v>000410</v>
      </c>
      <c r="M13" s="6">
        <v>43005</v>
      </c>
      <c r="N13" s="7">
        <v>17</v>
      </c>
      <c r="O13" s="7" t="str">
        <f>"001561"</f>
        <v>001561</v>
      </c>
      <c r="P13" s="6">
        <v>43599</v>
      </c>
      <c r="Q13" s="9">
        <v>19.618569999999998</v>
      </c>
      <c r="R13" s="9">
        <v>2.6191</v>
      </c>
      <c r="S13" s="9">
        <v>16.999469999999999</v>
      </c>
      <c r="T13" s="7">
        <v>49</v>
      </c>
      <c r="U13" s="6">
        <v>43602</v>
      </c>
      <c r="V13" s="7">
        <v>9483161122</v>
      </c>
      <c r="W13" s="8" t="s">
        <v>78</v>
      </c>
      <c r="X13" s="7" t="s">
        <v>79</v>
      </c>
      <c r="Y13" s="8" t="s">
        <v>80</v>
      </c>
      <c r="Z13" s="7" t="s">
        <v>39</v>
      </c>
      <c r="AA13" s="8" t="s">
        <v>40</v>
      </c>
      <c r="AB13" s="9">
        <f t="shared" si="0"/>
        <v>0.19618569999999999</v>
      </c>
    </row>
    <row r="14" spans="1:28" x14ac:dyDescent="0.35">
      <c r="A14" s="4">
        <v>3197</v>
      </c>
      <c r="B14" s="5" t="s">
        <v>32</v>
      </c>
      <c r="C14" s="6">
        <v>43603</v>
      </c>
      <c r="D14" s="7">
        <v>95</v>
      </c>
      <c r="E14" s="8" t="s">
        <v>49</v>
      </c>
      <c r="F14" s="7" t="s">
        <v>83</v>
      </c>
      <c r="G14" s="8" t="s">
        <v>84</v>
      </c>
      <c r="H14" s="7" t="str">
        <f>"000268"</f>
        <v>000268</v>
      </c>
      <c r="I14" s="6">
        <v>42915</v>
      </c>
      <c r="J14" s="7" t="str">
        <f>"000001"</f>
        <v>000001</v>
      </c>
      <c r="K14" s="6">
        <v>42993</v>
      </c>
      <c r="L14" s="7" t="str">
        <f>"000001"</f>
        <v>000001</v>
      </c>
      <c r="M14" s="6">
        <v>42993</v>
      </c>
      <c r="N14" s="7">
        <v>17</v>
      </c>
      <c r="O14" s="7" t="str">
        <f>"001728"</f>
        <v>001728</v>
      </c>
      <c r="P14" s="6">
        <v>43602</v>
      </c>
      <c r="Q14" s="9">
        <v>49.787570000000002</v>
      </c>
      <c r="R14" s="9">
        <v>7.4853899999999998</v>
      </c>
      <c r="S14" s="9">
        <v>42.30218</v>
      </c>
      <c r="T14" s="7">
        <v>50</v>
      </c>
      <c r="U14" s="6">
        <v>43603</v>
      </c>
      <c r="V14" s="7">
        <v>9483161122</v>
      </c>
      <c r="W14" s="8" t="s">
        <v>78</v>
      </c>
      <c r="X14" s="7" t="s">
        <v>85</v>
      </c>
      <c r="Y14" s="8" t="s">
        <v>86</v>
      </c>
      <c r="Z14" s="7" t="s">
        <v>39</v>
      </c>
      <c r="AA14" s="8" t="s">
        <v>40</v>
      </c>
      <c r="AB14" s="9">
        <f t="shared" si="0"/>
        <v>0.49787570000000003</v>
      </c>
    </row>
    <row r="15" spans="1:28" x14ac:dyDescent="0.35">
      <c r="A15" s="4">
        <v>3198</v>
      </c>
      <c r="B15" s="5" t="s">
        <v>32</v>
      </c>
      <c r="C15" s="6">
        <v>43603</v>
      </c>
      <c r="D15" s="7">
        <v>95</v>
      </c>
      <c r="E15" s="8" t="s">
        <v>49</v>
      </c>
      <c r="F15" s="7" t="s">
        <v>87</v>
      </c>
      <c r="G15" s="8" t="s">
        <v>88</v>
      </c>
      <c r="H15" s="7" t="str">
        <f>"000269"</f>
        <v>000269</v>
      </c>
      <c r="I15" s="6">
        <v>42915</v>
      </c>
      <c r="J15" s="7" t="str">
        <f>"000002"</f>
        <v>000002</v>
      </c>
      <c r="K15" s="6">
        <v>42993</v>
      </c>
      <c r="L15" s="7" t="str">
        <f>"000002"</f>
        <v>000002</v>
      </c>
      <c r="M15" s="6">
        <v>42993</v>
      </c>
      <c r="N15" s="7">
        <v>17</v>
      </c>
      <c r="O15" s="7" t="str">
        <f>"001729"</f>
        <v>001729</v>
      </c>
      <c r="P15" s="6">
        <v>43602</v>
      </c>
      <c r="Q15" s="9">
        <v>49.882399999999997</v>
      </c>
      <c r="R15" s="9">
        <v>7.5071300000000001</v>
      </c>
      <c r="S15" s="9">
        <v>42.37527</v>
      </c>
      <c r="T15" s="7">
        <v>50</v>
      </c>
      <c r="U15" s="6">
        <v>43603</v>
      </c>
      <c r="V15" s="7">
        <v>9483161122</v>
      </c>
      <c r="W15" s="8" t="s">
        <v>78</v>
      </c>
      <c r="X15" s="7" t="s">
        <v>85</v>
      </c>
      <c r="Y15" s="8" t="s">
        <v>86</v>
      </c>
      <c r="Z15" s="7" t="s">
        <v>39</v>
      </c>
      <c r="AA15" s="8" t="s">
        <v>40</v>
      </c>
      <c r="AB15" s="9">
        <f t="shared" si="0"/>
        <v>0.49882399999999999</v>
      </c>
    </row>
    <row r="16" spans="1:28" x14ac:dyDescent="0.35">
      <c r="A16" s="4">
        <v>3199</v>
      </c>
      <c r="B16" s="5" t="s">
        <v>32</v>
      </c>
      <c r="C16" s="6">
        <v>43606</v>
      </c>
      <c r="D16" s="7">
        <v>95</v>
      </c>
      <c r="E16" s="8" t="s">
        <v>49</v>
      </c>
      <c r="F16" s="7" t="s">
        <v>89</v>
      </c>
      <c r="G16" s="8" t="s">
        <v>90</v>
      </c>
      <c r="H16" s="7" t="str">
        <f>"000290"</f>
        <v>000290</v>
      </c>
      <c r="I16" s="6">
        <v>43542</v>
      </c>
      <c r="J16" s="7" t="str">
        <f>"000187"</f>
        <v>000187</v>
      </c>
      <c r="K16" s="6">
        <v>43545</v>
      </c>
      <c r="L16" s="7" t="str">
        <f>"000282"</f>
        <v>000282</v>
      </c>
      <c r="M16" s="6">
        <v>43544</v>
      </c>
      <c r="N16" s="7">
        <v>18</v>
      </c>
      <c r="O16" s="7" t="str">
        <f>"001775"</f>
        <v>001775</v>
      </c>
      <c r="P16" s="6">
        <v>43603</v>
      </c>
      <c r="Q16" s="9">
        <v>14.820259999999999</v>
      </c>
      <c r="R16" s="9">
        <v>2.03085</v>
      </c>
      <c r="S16" s="9">
        <v>12.78941</v>
      </c>
      <c r="T16" s="7">
        <v>53</v>
      </c>
      <c r="U16" s="6">
        <v>43606</v>
      </c>
      <c r="V16" s="7">
        <v>9483161122</v>
      </c>
      <c r="W16" s="8" t="s">
        <v>44</v>
      </c>
      <c r="X16" s="7" t="s">
        <v>91</v>
      </c>
      <c r="Y16" s="8" t="s">
        <v>92</v>
      </c>
      <c r="Z16" s="7" t="s">
        <v>39</v>
      </c>
      <c r="AA16" s="8" t="s">
        <v>40</v>
      </c>
      <c r="AB16" s="9">
        <f t="shared" si="0"/>
        <v>0.14820259999999999</v>
      </c>
    </row>
    <row r="17" spans="1:28" x14ac:dyDescent="0.35">
      <c r="A17" s="4">
        <v>3200</v>
      </c>
      <c r="B17" s="5" t="s">
        <v>32</v>
      </c>
      <c r="C17" s="6">
        <v>43606</v>
      </c>
      <c r="D17" s="7">
        <v>95</v>
      </c>
      <c r="E17" s="8" t="s">
        <v>49</v>
      </c>
      <c r="F17" s="7" t="s">
        <v>93</v>
      </c>
      <c r="G17" s="8" t="s">
        <v>94</v>
      </c>
      <c r="H17" s="7" t="str">
        <f>"000291"</f>
        <v>000291</v>
      </c>
      <c r="I17" s="6">
        <v>43540</v>
      </c>
      <c r="J17" s="7" t="str">
        <f>"000189"</f>
        <v>000189</v>
      </c>
      <c r="K17" s="6">
        <v>43545</v>
      </c>
      <c r="L17" s="7" t="str">
        <f>"000284"</f>
        <v>000284</v>
      </c>
      <c r="M17" s="6">
        <v>43544</v>
      </c>
      <c r="N17" s="7">
        <v>18</v>
      </c>
      <c r="O17" s="7" t="str">
        <f>"001776"</f>
        <v>001776</v>
      </c>
      <c r="P17" s="6">
        <v>43603</v>
      </c>
      <c r="Q17" s="9">
        <v>14.997439999999999</v>
      </c>
      <c r="R17" s="9">
        <v>1.9296500000000001</v>
      </c>
      <c r="S17" s="9">
        <v>13.06779</v>
      </c>
      <c r="T17" s="7">
        <v>53</v>
      </c>
      <c r="U17" s="6">
        <v>43606</v>
      </c>
      <c r="V17" s="7">
        <v>1234567890</v>
      </c>
      <c r="W17" s="8" t="s">
        <v>44</v>
      </c>
      <c r="X17" s="7" t="s">
        <v>95</v>
      </c>
      <c r="Y17" s="8" t="s">
        <v>96</v>
      </c>
      <c r="Z17" s="7" t="s">
        <v>39</v>
      </c>
      <c r="AA17" s="8" t="s">
        <v>40</v>
      </c>
      <c r="AB17" s="9">
        <f t="shared" si="0"/>
        <v>0.14997439999999998</v>
      </c>
    </row>
    <row r="18" spans="1:28" x14ac:dyDescent="0.35">
      <c r="A18" s="4">
        <v>3201</v>
      </c>
      <c r="B18" s="5" t="s">
        <v>32</v>
      </c>
      <c r="C18" s="6">
        <v>43609</v>
      </c>
      <c r="D18" s="7">
        <v>95</v>
      </c>
      <c r="E18" s="8" t="s">
        <v>49</v>
      </c>
      <c r="F18" s="7" t="s">
        <v>97</v>
      </c>
      <c r="G18" s="8" t="s">
        <v>98</v>
      </c>
      <c r="H18" s="7" t="str">
        <f>"000099"</f>
        <v>000099</v>
      </c>
      <c r="I18" s="6">
        <v>42812</v>
      </c>
      <c r="J18" s="7" t="str">
        <f>"000064"</f>
        <v>000064</v>
      </c>
      <c r="K18" s="6">
        <v>43034</v>
      </c>
      <c r="L18" s="7" t="str">
        <f>"000076"</f>
        <v>000076</v>
      </c>
      <c r="M18" s="6">
        <v>43034</v>
      </c>
      <c r="N18" s="7">
        <v>15</v>
      </c>
      <c r="O18" s="7" t="str">
        <f>"001898"</f>
        <v>001898</v>
      </c>
      <c r="P18" s="6">
        <v>43607</v>
      </c>
      <c r="Q18" s="9">
        <v>43.4099</v>
      </c>
      <c r="R18" s="9">
        <v>6.7910000000000004</v>
      </c>
      <c r="S18" s="9">
        <v>36.618899999999996</v>
      </c>
      <c r="T18" s="7">
        <v>57</v>
      </c>
      <c r="U18" s="6">
        <v>43609</v>
      </c>
      <c r="V18" s="7">
        <v>9480685319</v>
      </c>
      <c r="W18" s="8" t="s">
        <v>99</v>
      </c>
      <c r="X18" s="7" t="s">
        <v>100</v>
      </c>
      <c r="Y18" s="8" t="s">
        <v>101</v>
      </c>
      <c r="Z18" s="7" t="s">
        <v>102</v>
      </c>
      <c r="AA18" s="8" t="s">
        <v>103</v>
      </c>
      <c r="AB18" s="9">
        <f t="shared" si="0"/>
        <v>0.43409900000000001</v>
      </c>
    </row>
    <row r="19" spans="1:28" x14ac:dyDescent="0.35">
      <c r="A19" s="4">
        <v>3202</v>
      </c>
      <c r="B19" s="5" t="s">
        <v>32</v>
      </c>
      <c r="C19" s="6">
        <v>43609</v>
      </c>
      <c r="D19" s="7">
        <v>95</v>
      </c>
      <c r="E19" s="8" t="s">
        <v>49</v>
      </c>
      <c r="F19" s="7" t="s">
        <v>104</v>
      </c>
      <c r="G19" s="8" t="s">
        <v>105</v>
      </c>
      <c r="H19" s="7" t="str">
        <f>"000101"</f>
        <v>000101</v>
      </c>
      <c r="I19" s="6">
        <v>42812</v>
      </c>
      <c r="J19" s="7" t="str">
        <f>"000061"</f>
        <v>000061</v>
      </c>
      <c r="K19" s="6">
        <v>43034</v>
      </c>
      <c r="L19" s="7" t="str">
        <f>"000077"</f>
        <v>000077</v>
      </c>
      <c r="M19" s="6">
        <v>43034</v>
      </c>
      <c r="N19" s="7">
        <v>15</v>
      </c>
      <c r="O19" s="7" t="str">
        <f>"001899"</f>
        <v>001899</v>
      </c>
      <c r="P19" s="6">
        <v>43607</v>
      </c>
      <c r="Q19" s="9">
        <v>86.829650000000001</v>
      </c>
      <c r="R19" s="9">
        <v>13.576650000000001</v>
      </c>
      <c r="S19" s="9">
        <v>73.253</v>
      </c>
      <c r="T19" s="7">
        <v>57</v>
      </c>
      <c r="U19" s="6">
        <v>43609</v>
      </c>
      <c r="V19" s="7">
        <v>9480685319</v>
      </c>
      <c r="W19" s="8" t="s">
        <v>99</v>
      </c>
      <c r="X19" s="7" t="s">
        <v>100</v>
      </c>
      <c r="Y19" s="8" t="s">
        <v>101</v>
      </c>
      <c r="Z19" s="7" t="s">
        <v>102</v>
      </c>
      <c r="AA19" s="8" t="s">
        <v>103</v>
      </c>
      <c r="AB19" s="9">
        <f t="shared" si="0"/>
        <v>0.86829650000000003</v>
      </c>
    </row>
    <row r="20" spans="1:28" x14ac:dyDescent="0.35">
      <c r="A20" s="4">
        <v>3203</v>
      </c>
      <c r="B20" s="5" t="s">
        <v>32</v>
      </c>
      <c r="C20" s="6">
        <v>43609</v>
      </c>
      <c r="D20" s="7">
        <v>95</v>
      </c>
      <c r="E20" s="8" t="s">
        <v>49</v>
      </c>
      <c r="F20" s="7" t="s">
        <v>106</v>
      </c>
      <c r="G20" s="8" t="s">
        <v>107</v>
      </c>
      <c r="H20" s="7" t="str">
        <f>"000100"</f>
        <v>000100</v>
      </c>
      <c r="I20" s="6">
        <v>42812</v>
      </c>
      <c r="J20" s="7" t="str">
        <f>"000063"</f>
        <v>000063</v>
      </c>
      <c r="K20" s="6">
        <v>43034</v>
      </c>
      <c r="L20" s="7" t="str">
        <f>"000079"</f>
        <v>000079</v>
      </c>
      <c r="M20" s="6">
        <v>43034</v>
      </c>
      <c r="N20" s="7">
        <v>15</v>
      </c>
      <c r="O20" s="7" t="str">
        <f>"001900"</f>
        <v>001900</v>
      </c>
      <c r="P20" s="6">
        <v>43607</v>
      </c>
      <c r="Q20" s="9">
        <v>87.011300000000006</v>
      </c>
      <c r="R20" s="9">
        <v>13.5877</v>
      </c>
      <c r="S20" s="9">
        <v>73.423599999999993</v>
      </c>
      <c r="T20" s="7">
        <v>57</v>
      </c>
      <c r="U20" s="6">
        <v>43609</v>
      </c>
      <c r="V20" s="7">
        <v>9480685319</v>
      </c>
      <c r="W20" s="8" t="s">
        <v>99</v>
      </c>
      <c r="X20" s="7" t="s">
        <v>100</v>
      </c>
      <c r="Y20" s="8" t="s">
        <v>101</v>
      </c>
      <c r="Z20" s="7" t="s">
        <v>102</v>
      </c>
      <c r="AA20" s="8" t="s">
        <v>103</v>
      </c>
      <c r="AB20" s="9">
        <f t="shared" si="0"/>
        <v>0.87011300000000003</v>
      </c>
    </row>
    <row r="21" spans="1:28" x14ac:dyDescent="0.35">
      <c r="A21" s="4">
        <v>3204</v>
      </c>
      <c r="B21" s="5" t="s">
        <v>32</v>
      </c>
      <c r="C21" s="6">
        <v>43615</v>
      </c>
      <c r="D21" s="7">
        <v>95</v>
      </c>
      <c r="E21" s="8" t="s">
        <v>49</v>
      </c>
      <c r="F21" s="7" t="s">
        <v>108</v>
      </c>
      <c r="G21" s="8" t="s">
        <v>109</v>
      </c>
      <c r="H21" s="7" t="str">
        <f>"000013"</f>
        <v>000013</v>
      </c>
      <c r="I21" s="6">
        <v>43064</v>
      </c>
      <c r="J21" s="7" t="str">
        <f>"000009"</f>
        <v>000009</v>
      </c>
      <c r="K21" s="6">
        <v>43064</v>
      </c>
      <c r="L21" s="7" t="str">
        <f>"000014"</f>
        <v>000014</v>
      </c>
      <c r="M21" s="6">
        <v>43064</v>
      </c>
      <c r="N21" s="7">
        <v>17</v>
      </c>
      <c r="O21" s="7" t="str">
        <f>"002191"</f>
        <v>002191</v>
      </c>
      <c r="P21" s="6">
        <v>43613</v>
      </c>
      <c r="Q21" s="9">
        <v>19.92287</v>
      </c>
      <c r="R21" s="9">
        <v>3.0333399999999999</v>
      </c>
      <c r="S21" s="9">
        <v>16.889530000000001</v>
      </c>
      <c r="T21" s="7">
        <v>65</v>
      </c>
      <c r="U21" s="6">
        <v>43615</v>
      </c>
      <c r="V21" s="7">
        <v>9483161122</v>
      </c>
      <c r="W21" s="8" t="s">
        <v>78</v>
      </c>
      <c r="X21" s="7" t="s">
        <v>79</v>
      </c>
      <c r="Y21" s="8" t="s">
        <v>80</v>
      </c>
      <c r="Z21" s="7" t="s">
        <v>39</v>
      </c>
      <c r="AA21" s="8" t="s">
        <v>40</v>
      </c>
      <c r="AB21" s="9">
        <f t="shared" si="0"/>
        <v>0.19922870000000001</v>
      </c>
    </row>
    <row r="22" spans="1:28" x14ac:dyDescent="0.35">
      <c r="A22" s="4">
        <v>3205</v>
      </c>
      <c r="B22" s="5" t="s">
        <v>29</v>
      </c>
      <c r="C22" s="6">
        <v>43623</v>
      </c>
      <c r="D22" s="7">
        <v>95</v>
      </c>
      <c r="E22" s="8" t="s">
        <v>49</v>
      </c>
      <c r="F22" s="7" t="s">
        <v>110</v>
      </c>
      <c r="G22" s="8" t="s">
        <v>111</v>
      </c>
      <c r="H22" s="7" t="str">
        <f>"000113"</f>
        <v>000113</v>
      </c>
      <c r="I22" s="6">
        <v>42668</v>
      </c>
      <c r="J22" s="7" t="str">
        <f>"000202"</f>
        <v>000202</v>
      </c>
      <c r="K22" s="6">
        <v>42762</v>
      </c>
      <c r="L22" s="7" t="str">
        <f>"000478"</f>
        <v>000478</v>
      </c>
      <c r="M22" s="6">
        <v>42762</v>
      </c>
      <c r="N22" s="7">
        <v>16</v>
      </c>
      <c r="O22" s="7" t="str">
        <f>"002490"</f>
        <v>002490</v>
      </c>
      <c r="P22" s="6">
        <v>43622</v>
      </c>
      <c r="Q22" s="9">
        <v>8.3541000000000007</v>
      </c>
      <c r="R22" s="9">
        <v>1.0450999999999999</v>
      </c>
      <c r="S22" s="9">
        <v>7.3090000000000002</v>
      </c>
      <c r="T22" s="7">
        <v>72</v>
      </c>
      <c r="U22" s="6">
        <v>43623</v>
      </c>
      <c r="V22" s="7">
        <v>1234567890</v>
      </c>
      <c r="W22" s="8" t="s">
        <v>112</v>
      </c>
      <c r="X22" s="7" t="s">
        <v>30</v>
      </c>
      <c r="Y22" s="8" t="s">
        <v>31</v>
      </c>
      <c r="Z22" s="7" t="s">
        <v>39</v>
      </c>
      <c r="AA22" s="8" t="s">
        <v>40</v>
      </c>
      <c r="AB22" s="9">
        <v>8.3541000000000004E-2</v>
      </c>
    </row>
    <row r="23" spans="1:28" x14ac:dyDescent="0.35">
      <c r="A23" s="4">
        <v>3206</v>
      </c>
      <c r="B23" s="5" t="s">
        <v>29</v>
      </c>
      <c r="C23" s="6">
        <v>43628</v>
      </c>
      <c r="D23" s="7">
        <v>95</v>
      </c>
      <c r="E23" s="8" t="s">
        <v>49</v>
      </c>
      <c r="F23" s="7" t="s">
        <v>113</v>
      </c>
      <c r="G23" s="8" t="s">
        <v>114</v>
      </c>
      <c r="H23" s="7" t="str">
        <f>"000023"</f>
        <v>000023</v>
      </c>
      <c r="I23" s="6">
        <v>43073</v>
      </c>
      <c r="J23" s="7" t="str">
        <f>"000016"</f>
        <v>000016</v>
      </c>
      <c r="K23" s="6">
        <v>43073</v>
      </c>
      <c r="L23" s="7" t="str">
        <f>"000022"</f>
        <v>000022</v>
      </c>
      <c r="M23" s="6">
        <v>43073</v>
      </c>
      <c r="N23" s="7">
        <v>17</v>
      </c>
      <c r="O23" s="7" t="str">
        <f>"002429"</f>
        <v>002429</v>
      </c>
      <c r="P23" s="6">
        <v>43622</v>
      </c>
      <c r="Q23" s="9">
        <v>19.60219</v>
      </c>
      <c r="R23" s="9">
        <v>2.1758299999999999</v>
      </c>
      <c r="S23" s="9">
        <v>17.426359999999999</v>
      </c>
      <c r="T23" s="7">
        <v>76</v>
      </c>
      <c r="U23" s="6">
        <v>43628</v>
      </c>
      <c r="V23" s="7">
        <v>9483161122</v>
      </c>
      <c r="W23" s="8" t="s">
        <v>78</v>
      </c>
      <c r="X23" s="7" t="s">
        <v>79</v>
      </c>
      <c r="Y23" s="8" t="s">
        <v>80</v>
      </c>
      <c r="Z23" s="7" t="s">
        <v>39</v>
      </c>
      <c r="AA23" s="8" t="s">
        <v>40</v>
      </c>
      <c r="AB23" s="9">
        <v>0.1960219</v>
      </c>
    </row>
    <row r="24" spans="1:28" x14ac:dyDescent="0.35">
      <c r="A24" s="4">
        <v>3207</v>
      </c>
      <c r="B24" s="5" t="s">
        <v>29</v>
      </c>
      <c r="C24" s="6">
        <v>43628</v>
      </c>
      <c r="D24" s="7">
        <v>95</v>
      </c>
      <c r="E24" s="8" t="s">
        <v>49</v>
      </c>
      <c r="F24" s="7" t="s">
        <v>115</v>
      </c>
      <c r="G24" s="8" t="s">
        <v>116</v>
      </c>
      <c r="H24" s="7" t="str">
        <f>"000098"</f>
        <v>000098</v>
      </c>
      <c r="I24" s="6">
        <v>42812</v>
      </c>
      <c r="J24" s="7" t="str">
        <f>"000062"</f>
        <v>000062</v>
      </c>
      <c r="K24" s="6">
        <v>43034</v>
      </c>
      <c r="L24" s="7" t="str">
        <f>"000078"</f>
        <v>000078</v>
      </c>
      <c r="M24" s="6">
        <v>43034</v>
      </c>
      <c r="N24" s="7">
        <v>15</v>
      </c>
      <c r="O24" s="7" t="str">
        <f>"002573"</f>
        <v>002573</v>
      </c>
      <c r="P24" s="6">
        <v>43627</v>
      </c>
      <c r="Q24" s="9">
        <v>43.378</v>
      </c>
      <c r="R24" s="9">
        <v>6.7961499999999999</v>
      </c>
      <c r="S24" s="9">
        <v>36.581850000000003</v>
      </c>
      <c r="T24" s="7">
        <v>76</v>
      </c>
      <c r="U24" s="6">
        <v>43628</v>
      </c>
      <c r="V24" s="7">
        <v>9480685319</v>
      </c>
      <c r="W24" s="8" t="s">
        <v>117</v>
      </c>
      <c r="X24" s="7" t="s">
        <v>100</v>
      </c>
      <c r="Y24" s="8" t="s">
        <v>101</v>
      </c>
      <c r="Z24" s="7" t="s">
        <v>102</v>
      </c>
      <c r="AA24" s="8" t="s">
        <v>103</v>
      </c>
      <c r="AB24" s="9">
        <v>0.43378</v>
      </c>
    </row>
    <row r="25" spans="1:28" x14ac:dyDescent="0.35">
      <c r="A25" s="4">
        <v>3208</v>
      </c>
      <c r="B25" s="5" t="s">
        <v>118</v>
      </c>
      <c r="C25" s="6">
        <v>43647</v>
      </c>
      <c r="D25" s="7">
        <v>95</v>
      </c>
      <c r="E25" s="8" t="s">
        <v>49</v>
      </c>
      <c r="F25" s="7" t="s">
        <v>119</v>
      </c>
      <c r="G25" s="10" t="s">
        <v>120</v>
      </c>
      <c r="H25" s="7" t="str">
        <f>"000292"</f>
        <v>000292</v>
      </c>
      <c r="I25" s="6">
        <v>43541</v>
      </c>
      <c r="J25" s="7" t="str">
        <f>"000186"</f>
        <v>000186</v>
      </c>
      <c r="K25" s="6">
        <v>43545</v>
      </c>
      <c r="L25" s="7" t="str">
        <f>"000281"</f>
        <v>000281</v>
      </c>
      <c r="M25" s="6">
        <v>43544</v>
      </c>
      <c r="N25" s="7">
        <v>19</v>
      </c>
      <c r="O25" s="7" t="str">
        <f>"002990"</f>
        <v>002990</v>
      </c>
      <c r="P25" s="6">
        <v>43640</v>
      </c>
      <c r="Q25" s="11">
        <v>19.990030000000001</v>
      </c>
      <c r="R25" s="11">
        <v>2.7032400000000001</v>
      </c>
      <c r="S25" s="11">
        <v>17.28679</v>
      </c>
      <c r="T25" s="7">
        <v>97</v>
      </c>
      <c r="U25" s="6">
        <v>43647</v>
      </c>
      <c r="V25" s="7">
        <v>1234567890</v>
      </c>
      <c r="W25" s="10" t="s">
        <v>121</v>
      </c>
      <c r="X25" s="7" t="s">
        <v>122</v>
      </c>
      <c r="Y25" s="10" t="s">
        <v>123</v>
      </c>
      <c r="Z25" s="7" t="s">
        <v>39</v>
      </c>
      <c r="AA25" s="10" t="s">
        <v>40</v>
      </c>
      <c r="AB25" s="11">
        <f t="shared" ref="AB25:AB38" si="1">Q25/100</f>
        <v>0.1999003</v>
      </c>
    </row>
    <row r="26" spans="1:28" x14ac:dyDescent="0.35">
      <c r="A26" s="4">
        <v>3209</v>
      </c>
      <c r="B26" s="5" t="s">
        <v>118</v>
      </c>
      <c r="C26" s="6">
        <v>43672</v>
      </c>
      <c r="D26" s="7">
        <v>95</v>
      </c>
      <c r="E26" s="8" t="s">
        <v>49</v>
      </c>
      <c r="F26" s="7" t="s">
        <v>124</v>
      </c>
      <c r="G26" s="10" t="s">
        <v>125</v>
      </c>
      <c r="H26" s="7" t="str">
        <f>"000034"</f>
        <v>000034</v>
      </c>
      <c r="I26" s="6">
        <v>43600</v>
      </c>
      <c r="J26" s="7" t="str">
        <f>"000010"</f>
        <v>000010</v>
      </c>
      <c r="K26" s="6">
        <v>43600</v>
      </c>
      <c r="L26" s="7" t="str">
        <f>"000012"</f>
        <v>000012</v>
      </c>
      <c r="M26" s="6">
        <v>43601</v>
      </c>
      <c r="N26" s="7">
        <v>19</v>
      </c>
      <c r="O26" s="7" t="str">
        <f>"003799"</f>
        <v>003799</v>
      </c>
      <c r="P26" s="6">
        <v>43665</v>
      </c>
      <c r="Q26" s="11">
        <v>29.990549999999999</v>
      </c>
      <c r="R26" s="11">
        <v>4.1597999999999997</v>
      </c>
      <c r="S26" s="11">
        <v>25.830749999999998</v>
      </c>
      <c r="T26" s="7">
        <v>127</v>
      </c>
      <c r="U26" s="6">
        <v>43672</v>
      </c>
      <c r="V26" s="7">
        <v>9483161122</v>
      </c>
      <c r="W26" s="10" t="s">
        <v>121</v>
      </c>
      <c r="X26" s="7" t="s">
        <v>122</v>
      </c>
      <c r="Y26" s="10" t="s">
        <v>123</v>
      </c>
      <c r="Z26" s="7" t="s">
        <v>39</v>
      </c>
      <c r="AA26" s="10" t="s">
        <v>40</v>
      </c>
      <c r="AB26" s="11">
        <f t="shared" si="1"/>
        <v>0.29990549999999999</v>
      </c>
    </row>
    <row r="27" spans="1:28" x14ac:dyDescent="0.35">
      <c r="A27" s="4">
        <v>3210</v>
      </c>
      <c r="B27" s="5" t="s">
        <v>118</v>
      </c>
      <c r="C27" s="6">
        <v>43677</v>
      </c>
      <c r="D27" s="7">
        <v>95</v>
      </c>
      <c r="E27" s="8" t="s">
        <v>49</v>
      </c>
      <c r="F27" s="7" t="s">
        <v>126</v>
      </c>
      <c r="G27" s="10" t="s">
        <v>127</v>
      </c>
      <c r="H27" s="7" t="str">
        <f>"000101"</f>
        <v>000101</v>
      </c>
      <c r="I27" s="6">
        <v>43309</v>
      </c>
      <c r="J27" s="7" t="str">
        <f>"000078"</f>
        <v>000078</v>
      </c>
      <c r="K27" s="6">
        <v>43309</v>
      </c>
      <c r="L27" s="7" t="str">
        <f>"000101"</f>
        <v>000101</v>
      </c>
      <c r="M27" s="6">
        <v>43309</v>
      </c>
      <c r="N27" s="7">
        <v>16</v>
      </c>
      <c r="O27" s="7" t="str">
        <f>"004090"</f>
        <v>004090</v>
      </c>
      <c r="P27" s="6">
        <v>43672</v>
      </c>
      <c r="Q27" s="11">
        <v>14.20839</v>
      </c>
      <c r="R27" s="11">
        <v>1.18513</v>
      </c>
      <c r="S27" s="11">
        <v>13.023260000000001</v>
      </c>
      <c r="T27" s="7">
        <v>136</v>
      </c>
      <c r="U27" s="6">
        <v>43677</v>
      </c>
      <c r="V27" s="7">
        <v>9663079036</v>
      </c>
      <c r="W27" s="10" t="s">
        <v>128</v>
      </c>
      <c r="X27" s="7" t="s">
        <v>129</v>
      </c>
      <c r="Y27" s="10" t="s">
        <v>130</v>
      </c>
      <c r="Z27" s="7" t="s">
        <v>39</v>
      </c>
      <c r="AA27" s="10" t="s">
        <v>40</v>
      </c>
      <c r="AB27" s="11">
        <f t="shared" si="1"/>
        <v>0.14208389999999999</v>
      </c>
    </row>
    <row r="28" spans="1:28" x14ac:dyDescent="0.35">
      <c r="A28" s="4">
        <v>3211</v>
      </c>
      <c r="B28" s="5" t="s">
        <v>118</v>
      </c>
      <c r="C28" s="6">
        <v>43677</v>
      </c>
      <c r="D28" s="7">
        <v>95</v>
      </c>
      <c r="E28" s="8" t="s">
        <v>49</v>
      </c>
      <c r="F28" s="7" t="s">
        <v>131</v>
      </c>
      <c r="G28" s="10" t="s">
        <v>132</v>
      </c>
      <c r="H28" s="7" t="str">
        <f>"000102"</f>
        <v>000102</v>
      </c>
      <c r="I28" s="6">
        <v>43309</v>
      </c>
      <c r="J28" s="7" t="str">
        <f>"000079"</f>
        <v>000079</v>
      </c>
      <c r="K28" s="6">
        <v>43309</v>
      </c>
      <c r="L28" s="7" t="str">
        <f>"000102"</f>
        <v>000102</v>
      </c>
      <c r="M28" s="6">
        <v>43309</v>
      </c>
      <c r="N28" s="7">
        <v>16</v>
      </c>
      <c r="O28" s="7" t="str">
        <f>"004092"</f>
        <v>004092</v>
      </c>
      <c r="P28" s="6">
        <v>43672</v>
      </c>
      <c r="Q28" s="11">
        <v>4.89689</v>
      </c>
      <c r="R28" s="11">
        <v>0.38763999999999998</v>
      </c>
      <c r="S28" s="11">
        <v>4.5092499999999998</v>
      </c>
      <c r="T28" s="7">
        <v>136</v>
      </c>
      <c r="U28" s="6">
        <v>43677</v>
      </c>
      <c r="V28" s="7">
        <v>9663079036</v>
      </c>
      <c r="W28" s="10" t="s">
        <v>128</v>
      </c>
      <c r="X28" s="7" t="s">
        <v>129</v>
      </c>
      <c r="Y28" s="10" t="s">
        <v>130</v>
      </c>
      <c r="Z28" s="7" t="s">
        <v>39</v>
      </c>
      <c r="AA28" s="10" t="s">
        <v>40</v>
      </c>
      <c r="AB28" s="11">
        <f t="shared" si="1"/>
        <v>4.8968900000000003E-2</v>
      </c>
    </row>
    <row r="29" spans="1:28" x14ac:dyDescent="0.35">
      <c r="A29" s="4">
        <v>3212</v>
      </c>
      <c r="B29" s="5" t="s">
        <v>133</v>
      </c>
      <c r="C29" s="6">
        <v>43685</v>
      </c>
      <c r="D29" s="7">
        <v>95</v>
      </c>
      <c r="E29" s="8" t="s">
        <v>49</v>
      </c>
      <c r="F29" s="7" t="s">
        <v>134</v>
      </c>
      <c r="G29" s="10" t="s">
        <v>135</v>
      </c>
      <c r="H29" s="7" t="str">
        <f>"000103"</f>
        <v>000103</v>
      </c>
      <c r="I29" s="6">
        <v>43309</v>
      </c>
      <c r="J29" s="7" t="str">
        <f>"000080"</f>
        <v>000080</v>
      </c>
      <c r="K29" s="6">
        <v>43309</v>
      </c>
      <c r="L29" s="7" t="str">
        <f>"000103"</f>
        <v>000103</v>
      </c>
      <c r="M29" s="6">
        <v>43309</v>
      </c>
      <c r="N29" s="7">
        <v>16</v>
      </c>
      <c r="O29" s="7" t="str">
        <f>"004289"</f>
        <v>004289</v>
      </c>
      <c r="P29" s="6">
        <v>43680</v>
      </c>
      <c r="Q29" s="11">
        <v>4.8969199999999997</v>
      </c>
      <c r="R29" s="11">
        <v>0.39628999999999998</v>
      </c>
      <c r="S29" s="11">
        <v>4.5006300000000001</v>
      </c>
      <c r="T29" s="7">
        <v>145</v>
      </c>
      <c r="U29" s="6">
        <v>43685</v>
      </c>
      <c r="V29" s="7">
        <v>9663079036</v>
      </c>
      <c r="W29" s="10" t="s">
        <v>128</v>
      </c>
      <c r="X29" s="7" t="s">
        <v>129</v>
      </c>
      <c r="Y29" s="10" t="s">
        <v>130</v>
      </c>
      <c r="Z29" s="7" t="s">
        <v>39</v>
      </c>
      <c r="AA29" s="10" t="s">
        <v>40</v>
      </c>
      <c r="AB29" s="11">
        <f t="shared" si="1"/>
        <v>4.8969199999999997E-2</v>
      </c>
    </row>
    <row r="30" spans="1:28" x14ac:dyDescent="0.35">
      <c r="A30" s="4">
        <v>3213</v>
      </c>
      <c r="B30" s="5" t="s">
        <v>133</v>
      </c>
      <c r="C30" s="6">
        <v>43690</v>
      </c>
      <c r="D30" s="7">
        <v>95</v>
      </c>
      <c r="E30" s="8" t="s">
        <v>49</v>
      </c>
      <c r="F30" s="7" t="s">
        <v>136</v>
      </c>
      <c r="G30" s="10" t="s">
        <v>137</v>
      </c>
      <c r="H30" s="7" t="str">
        <f>"000033"</f>
        <v>000033</v>
      </c>
      <c r="I30" s="6">
        <v>43600</v>
      </c>
      <c r="J30" s="7" t="str">
        <f>"000009"</f>
        <v>000009</v>
      </c>
      <c r="K30" s="6">
        <v>43600</v>
      </c>
      <c r="L30" s="7" t="str">
        <f>"000011"</f>
        <v>000011</v>
      </c>
      <c r="M30" s="6">
        <v>43601</v>
      </c>
      <c r="N30" s="7">
        <v>19</v>
      </c>
      <c r="O30" s="7" t="str">
        <f>"004146"</f>
        <v>004146</v>
      </c>
      <c r="P30" s="6">
        <v>43678</v>
      </c>
      <c r="Q30" s="11">
        <v>29.895530000000001</v>
      </c>
      <c r="R30" s="11">
        <v>4.14785</v>
      </c>
      <c r="S30" s="11">
        <v>25.747679999999999</v>
      </c>
      <c r="T30" s="7">
        <v>152</v>
      </c>
      <c r="U30" s="6">
        <v>43690</v>
      </c>
      <c r="V30" s="7">
        <v>9483161122</v>
      </c>
      <c r="W30" s="10" t="s">
        <v>121</v>
      </c>
      <c r="X30" s="7" t="s">
        <v>122</v>
      </c>
      <c r="Y30" s="10" t="s">
        <v>123</v>
      </c>
      <c r="Z30" s="7" t="s">
        <v>39</v>
      </c>
      <c r="AA30" s="10" t="s">
        <v>40</v>
      </c>
      <c r="AB30" s="11">
        <f t="shared" si="1"/>
        <v>0.29895530000000003</v>
      </c>
    </row>
    <row r="31" spans="1:28" x14ac:dyDescent="0.35">
      <c r="A31" s="4">
        <v>3214</v>
      </c>
      <c r="B31" s="5" t="s">
        <v>133</v>
      </c>
      <c r="C31" s="6">
        <v>43696</v>
      </c>
      <c r="D31" s="7">
        <v>95</v>
      </c>
      <c r="E31" s="8" t="s">
        <v>49</v>
      </c>
      <c r="F31" s="7" t="s">
        <v>138</v>
      </c>
      <c r="G31" s="10" t="s">
        <v>139</v>
      </c>
      <c r="H31" s="7" t="str">
        <f>"000070"</f>
        <v>000070</v>
      </c>
      <c r="I31" s="6">
        <v>43176</v>
      </c>
      <c r="J31" s="7" t="str">
        <f>"000054"</f>
        <v>000054</v>
      </c>
      <c r="K31" s="6">
        <v>43176</v>
      </c>
      <c r="L31" s="7" t="str">
        <f>"000071"</f>
        <v>000071</v>
      </c>
      <c r="M31" s="6">
        <v>43176</v>
      </c>
      <c r="N31" s="7">
        <v>17</v>
      </c>
      <c r="O31" s="7" t="str">
        <f>"004466"</f>
        <v>004466</v>
      </c>
      <c r="P31" s="6">
        <v>43691</v>
      </c>
      <c r="Q31" s="11">
        <v>20.31249</v>
      </c>
      <c r="R31" s="11">
        <v>2.29413</v>
      </c>
      <c r="S31" s="11">
        <v>18.018360000000001</v>
      </c>
      <c r="T31" s="7">
        <v>158</v>
      </c>
      <c r="U31" s="6">
        <v>43696</v>
      </c>
      <c r="V31" s="7">
        <v>9483161122</v>
      </c>
      <c r="W31" s="10" t="s">
        <v>78</v>
      </c>
      <c r="X31" s="7" t="s">
        <v>79</v>
      </c>
      <c r="Y31" s="10" t="s">
        <v>80</v>
      </c>
      <c r="Z31" s="7" t="s">
        <v>39</v>
      </c>
      <c r="AA31" s="10" t="s">
        <v>40</v>
      </c>
      <c r="AB31" s="11">
        <f t="shared" si="1"/>
        <v>0.2031249</v>
      </c>
    </row>
    <row r="32" spans="1:28" x14ac:dyDescent="0.35">
      <c r="A32" s="4">
        <v>3215</v>
      </c>
      <c r="B32" s="5" t="s">
        <v>133</v>
      </c>
      <c r="C32" s="6">
        <v>43704</v>
      </c>
      <c r="D32" s="7">
        <v>95</v>
      </c>
      <c r="E32" s="8" t="s">
        <v>49</v>
      </c>
      <c r="F32" s="7" t="s">
        <v>140</v>
      </c>
      <c r="G32" s="10" t="s">
        <v>141</v>
      </c>
      <c r="H32" s="7" t="str">
        <f>"000078"</f>
        <v>000078</v>
      </c>
      <c r="I32" s="6">
        <v>43182</v>
      </c>
      <c r="J32" s="7" t="str">
        <f>"000059"</f>
        <v>000059</v>
      </c>
      <c r="K32" s="6">
        <v>43182</v>
      </c>
      <c r="L32" s="7" t="str">
        <f>"000074"</f>
        <v>000074</v>
      </c>
      <c r="M32" s="6">
        <v>43182</v>
      </c>
      <c r="N32" s="7">
        <v>12</v>
      </c>
      <c r="O32" s="7" t="str">
        <f>"004511"</f>
        <v>004511</v>
      </c>
      <c r="P32" s="6">
        <v>43693</v>
      </c>
      <c r="Q32" s="11">
        <v>21.95036</v>
      </c>
      <c r="R32" s="11">
        <v>2.5167000000000002</v>
      </c>
      <c r="S32" s="11">
        <v>19.43366</v>
      </c>
      <c r="T32" s="7">
        <v>166</v>
      </c>
      <c r="U32" s="6">
        <v>43704</v>
      </c>
      <c r="V32" s="7">
        <v>9483161122</v>
      </c>
      <c r="W32" s="10" t="s">
        <v>78</v>
      </c>
      <c r="X32" s="7" t="s">
        <v>142</v>
      </c>
      <c r="Y32" s="10" t="s">
        <v>143</v>
      </c>
      <c r="Z32" s="7" t="s">
        <v>39</v>
      </c>
      <c r="AA32" s="10" t="s">
        <v>40</v>
      </c>
      <c r="AB32" s="11">
        <f t="shared" si="1"/>
        <v>0.21950359999999999</v>
      </c>
    </row>
    <row r="33" spans="1:28" x14ac:dyDescent="0.35">
      <c r="A33" s="4">
        <v>3216</v>
      </c>
      <c r="B33" s="5" t="s">
        <v>133</v>
      </c>
      <c r="C33" s="6">
        <v>43704</v>
      </c>
      <c r="D33" s="7">
        <v>95</v>
      </c>
      <c r="E33" s="8" t="s">
        <v>49</v>
      </c>
      <c r="F33" s="7" t="s">
        <v>144</v>
      </c>
      <c r="G33" s="10" t="s">
        <v>145</v>
      </c>
      <c r="H33" s="7" t="str">
        <f>"000076"</f>
        <v>000076</v>
      </c>
      <c r="I33" s="6">
        <v>43182</v>
      </c>
      <c r="J33" s="7" t="str">
        <f>"000057"</f>
        <v>000057</v>
      </c>
      <c r="K33" s="6">
        <v>43182</v>
      </c>
      <c r="L33" s="7" t="str">
        <f>"000075"</f>
        <v>000075</v>
      </c>
      <c r="M33" s="6">
        <v>43182</v>
      </c>
      <c r="N33" s="7">
        <v>12</v>
      </c>
      <c r="O33" s="7" t="str">
        <f>"004512"</f>
        <v>004512</v>
      </c>
      <c r="P33" s="6">
        <v>43693</v>
      </c>
      <c r="Q33" s="11">
        <v>21.948499999999999</v>
      </c>
      <c r="R33" s="11">
        <v>2.4875500000000001</v>
      </c>
      <c r="S33" s="11">
        <v>19.46095</v>
      </c>
      <c r="T33" s="7">
        <v>166</v>
      </c>
      <c r="U33" s="6">
        <v>43704</v>
      </c>
      <c r="V33" s="7">
        <v>9483161122</v>
      </c>
      <c r="W33" s="10" t="s">
        <v>78</v>
      </c>
      <c r="X33" s="7" t="s">
        <v>142</v>
      </c>
      <c r="Y33" s="10" t="s">
        <v>143</v>
      </c>
      <c r="Z33" s="7" t="s">
        <v>39</v>
      </c>
      <c r="AA33" s="10" t="s">
        <v>40</v>
      </c>
      <c r="AB33" s="11">
        <f t="shared" si="1"/>
        <v>0.21948499999999999</v>
      </c>
    </row>
    <row r="34" spans="1:28" x14ac:dyDescent="0.35">
      <c r="A34" s="4">
        <v>3217</v>
      </c>
      <c r="B34" s="5" t="s">
        <v>133</v>
      </c>
      <c r="C34" s="6">
        <v>43704</v>
      </c>
      <c r="D34" s="7">
        <v>95</v>
      </c>
      <c r="E34" s="8" t="s">
        <v>49</v>
      </c>
      <c r="F34" s="7" t="s">
        <v>146</v>
      </c>
      <c r="G34" s="10" t="s">
        <v>147</v>
      </c>
      <c r="H34" s="7" t="str">
        <f>"000077"</f>
        <v>000077</v>
      </c>
      <c r="I34" s="6">
        <v>43182</v>
      </c>
      <c r="J34" s="7" t="str">
        <f>"000058"</f>
        <v>000058</v>
      </c>
      <c r="K34" s="6">
        <v>43182</v>
      </c>
      <c r="L34" s="7" t="str">
        <f>"000076"</f>
        <v>000076</v>
      </c>
      <c r="M34" s="6">
        <v>43182</v>
      </c>
      <c r="N34" s="7">
        <v>11</v>
      </c>
      <c r="O34" s="7" t="str">
        <f>"004513"</f>
        <v>004513</v>
      </c>
      <c r="P34" s="6">
        <v>43693</v>
      </c>
      <c r="Q34" s="11">
        <v>10.90235</v>
      </c>
      <c r="R34" s="11">
        <v>1.3239799999999999</v>
      </c>
      <c r="S34" s="11">
        <v>9.5783699999999996</v>
      </c>
      <c r="T34" s="7">
        <v>166</v>
      </c>
      <c r="U34" s="6">
        <v>43704</v>
      </c>
      <c r="V34" s="7">
        <v>9483161122</v>
      </c>
      <c r="W34" s="10" t="s">
        <v>78</v>
      </c>
      <c r="X34" s="7" t="s">
        <v>142</v>
      </c>
      <c r="Y34" s="10" t="s">
        <v>143</v>
      </c>
      <c r="Z34" s="7" t="s">
        <v>39</v>
      </c>
      <c r="AA34" s="10" t="s">
        <v>40</v>
      </c>
      <c r="AB34" s="11">
        <f t="shared" si="1"/>
        <v>0.1090235</v>
      </c>
    </row>
    <row r="35" spans="1:28" x14ac:dyDescent="0.35">
      <c r="A35" s="4">
        <v>3218</v>
      </c>
      <c r="B35" s="5" t="s">
        <v>148</v>
      </c>
      <c r="C35" s="6">
        <v>43714</v>
      </c>
      <c r="D35" s="7">
        <v>95</v>
      </c>
      <c r="E35" s="8" t="s">
        <v>49</v>
      </c>
      <c r="F35" s="7" t="s">
        <v>149</v>
      </c>
      <c r="G35" s="10" t="s">
        <v>150</v>
      </c>
      <c r="H35" s="7" t="str">
        <f>"000068"</f>
        <v>000068</v>
      </c>
      <c r="I35" s="6">
        <v>43173</v>
      </c>
      <c r="J35" s="7" t="str">
        <f>"000050"</f>
        <v>000050</v>
      </c>
      <c r="K35" s="6">
        <v>43173</v>
      </c>
      <c r="L35" s="7" t="str">
        <f>"000066"</f>
        <v>000066</v>
      </c>
      <c r="M35" s="6">
        <v>43173</v>
      </c>
      <c r="N35" s="7">
        <v>18</v>
      </c>
      <c r="O35" s="7" t="str">
        <f>"004702"</f>
        <v>004702</v>
      </c>
      <c r="P35" s="6">
        <v>43698</v>
      </c>
      <c r="Q35" s="11">
        <v>19.993459999999999</v>
      </c>
      <c r="R35" s="11">
        <v>2.3427899999999999</v>
      </c>
      <c r="S35" s="11">
        <v>17.650670000000002</v>
      </c>
      <c r="T35" s="7">
        <v>175</v>
      </c>
      <c r="U35" s="6">
        <v>43714</v>
      </c>
      <c r="V35" s="7">
        <v>9483161122</v>
      </c>
      <c r="W35" s="10" t="s">
        <v>78</v>
      </c>
      <c r="X35" s="7" t="s">
        <v>151</v>
      </c>
      <c r="Y35" s="10" t="s">
        <v>152</v>
      </c>
      <c r="Z35" s="7" t="s">
        <v>39</v>
      </c>
      <c r="AA35" s="10" t="s">
        <v>40</v>
      </c>
      <c r="AB35" s="11">
        <f t="shared" si="1"/>
        <v>0.19993459999999999</v>
      </c>
    </row>
    <row r="36" spans="1:28" x14ac:dyDescent="0.35">
      <c r="A36" s="4">
        <v>3219</v>
      </c>
      <c r="B36" s="5" t="s">
        <v>148</v>
      </c>
      <c r="C36" s="6">
        <v>43726</v>
      </c>
      <c r="D36" s="7">
        <v>95</v>
      </c>
      <c r="E36" s="8" t="s">
        <v>49</v>
      </c>
      <c r="F36" s="7" t="s">
        <v>153</v>
      </c>
      <c r="G36" s="10" t="s">
        <v>154</v>
      </c>
      <c r="H36" s="7" t="str">
        <f>"000080"</f>
        <v>000080</v>
      </c>
      <c r="I36" s="6">
        <v>43714</v>
      </c>
      <c r="J36" s="7" t="str">
        <f>"000056"</f>
        <v>000056</v>
      </c>
      <c r="K36" s="6">
        <v>43714</v>
      </c>
      <c r="L36" s="7" t="str">
        <f>"000082"</f>
        <v>000082</v>
      </c>
      <c r="M36" s="6">
        <v>43717</v>
      </c>
      <c r="N36" s="7">
        <v>19</v>
      </c>
      <c r="O36" s="7" t="str">
        <f>"005178"</f>
        <v>005178</v>
      </c>
      <c r="P36" s="6">
        <v>43726</v>
      </c>
      <c r="Q36" s="11">
        <v>724.10243000000003</v>
      </c>
      <c r="R36" s="11">
        <v>84.56541</v>
      </c>
      <c r="S36" s="11">
        <v>639.53701999999998</v>
      </c>
      <c r="T36" s="7">
        <v>192</v>
      </c>
      <c r="U36" s="6">
        <v>43726</v>
      </c>
      <c r="V36" s="7">
        <v>1234567890</v>
      </c>
      <c r="W36" s="10" t="s">
        <v>155</v>
      </c>
      <c r="X36" s="7" t="s">
        <v>33</v>
      </c>
      <c r="Y36" s="10" t="s">
        <v>34</v>
      </c>
      <c r="Z36" s="7" t="s">
        <v>39</v>
      </c>
      <c r="AA36" s="10" t="s">
        <v>40</v>
      </c>
      <c r="AB36" s="11">
        <f t="shared" si="1"/>
        <v>7.2410243000000003</v>
      </c>
    </row>
    <row r="37" spans="1:28" x14ac:dyDescent="0.35">
      <c r="A37" s="4">
        <v>3220</v>
      </c>
      <c r="B37" s="5" t="s">
        <v>148</v>
      </c>
      <c r="C37" s="6">
        <v>43732</v>
      </c>
      <c r="D37" s="7">
        <v>95</v>
      </c>
      <c r="E37" s="8" t="s">
        <v>49</v>
      </c>
      <c r="F37" s="7" t="s">
        <v>156</v>
      </c>
      <c r="G37" s="10" t="s">
        <v>157</v>
      </c>
      <c r="H37" s="7" t="str">
        <f>"000073"</f>
        <v>000073</v>
      </c>
      <c r="I37" s="6">
        <v>43176</v>
      </c>
      <c r="J37" s="7" t="str">
        <f>"000051"</f>
        <v>000051</v>
      </c>
      <c r="K37" s="6">
        <v>43176</v>
      </c>
      <c r="L37" s="7" t="str">
        <f>"000068"</f>
        <v>000068</v>
      </c>
      <c r="M37" s="6">
        <v>43176</v>
      </c>
      <c r="N37" s="7">
        <v>17</v>
      </c>
      <c r="O37" s="7" t="str">
        <f>"005280"</f>
        <v>005280</v>
      </c>
      <c r="P37" s="6">
        <v>43728</v>
      </c>
      <c r="Q37" s="11">
        <v>4.2381799999999998</v>
      </c>
      <c r="R37" s="11">
        <v>0.31966</v>
      </c>
      <c r="S37" s="11">
        <v>3.91852</v>
      </c>
      <c r="T37" s="7">
        <v>199</v>
      </c>
      <c r="U37" s="6">
        <v>43732</v>
      </c>
      <c r="V37" s="7">
        <v>1234567890</v>
      </c>
      <c r="W37" s="10" t="s">
        <v>158</v>
      </c>
      <c r="X37" s="7" t="s">
        <v>30</v>
      </c>
      <c r="Y37" s="10" t="s">
        <v>31</v>
      </c>
      <c r="Z37" s="7" t="s">
        <v>39</v>
      </c>
      <c r="AA37" s="10" t="s">
        <v>40</v>
      </c>
      <c r="AB37" s="11">
        <f t="shared" si="1"/>
        <v>4.2381799999999997E-2</v>
      </c>
    </row>
    <row r="38" spans="1:28" x14ac:dyDescent="0.35">
      <c r="A38" s="4">
        <v>3221</v>
      </c>
      <c r="B38" s="5" t="s">
        <v>148</v>
      </c>
      <c r="C38" s="6">
        <v>43735</v>
      </c>
      <c r="D38" s="7">
        <v>95</v>
      </c>
      <c r="E38" s="8" t="s">
        <v>49</v>
      </c>
      <c r="F38" s="7" t="s">
        <v>159</v>
      </c>
      <c r="G38" s="10" t="s">
        <v>160</v>
      </c>
      <c r="H38" s="7" t="str">
        <f>"000119"</f>
        <v>000119</v>
      </c>
      <c r="I38" s="6">
        <v>43073</v>
      </c>
      <c r="J38" s="7" t="str">
        <f>"000054"</f>
        <v>000054</v>
      </c>
      <c r="K38" s="6">
        <v>43283</v>
      </c>
      <c r="L38" s="7" t="str">
        <f>"000057"</f>
        <v>000057</v>
      </c>
      <c r="M38" s="6">
        <v>43283</v>
      </c>
      <c r="N38" s="7">
        <v>18</v>
      </c>
      <c r="O38" s="7" t="str">
        <f>"005142"</f>
        <v>005142</v>
      </c>
      <c r="P38" s="6">
        <v>43725</v>
      </c>
      <c r="Q38" s="11">
        <v>2.9225099999999999</v>
      </c>
      <c r="R38" s="11">
        <v>9.0590000000000004E-2</v>
      </c>
      <c r="S38" s="11">
        <v>2.8319200000000002</v>
      </c>
      <c r="T38" s="7">
        <v>205</v>
      </c>
      <c r="U38" s="6">
        <v>43735</v>
      </c>
      <c r="V38" s="7">
        <v>8892778977</v>
      </c>
      <c r="W38" s="10" t="s">
        <v>161</v>
      </c>
      <c r="X38" s="7" t="s">
        <v>162</v>
      </c>
      <c r="Y38" s="10" t="s">
        <v>163</v>
      </c>
      <c r="Z38" s="7" t="s">
        <v>102</v>
      </c>
      <c r="AA38" s="10" t="s">
        <v>103</v>
      </c>
      <c r="AB38" s="11">
        <f t="shared" si="1"/>
        <v>2.92251E-2</v>
      </c>
    </row>
    <row r="39" spans="1:28" x14ac:dyDescent="0.35">
      <c r="A39" s="4">
        <v>3222</v>
      </c>
      <c r="B39" s="5" t="s">
        <v>164</v>
      </c>
      <c r="C39" s="6">
        <v>43777</v>
      </c>
      <c r="D39" s="4">
        <v>95</v>
      </c>
      <c r="E39" s="8" t="s">
        <v>49</v>
      </c>
      <c r="F39" s="7" t="s">
        <v>54</v>
      </c>
      <c r="G39" s="8" t="s">
        <v>55</v>
      </c>
      <c r="H39" s="7" t="str">
        <f>"000037"</f>
        <v>000037</v>
      </c>
      <c r="I39" s="6">
        <v>42943</v>
      </c>
      <c r="J39" s="7" t="str">
        <f>"000072"</f>
        <v>000072</v>
      </c>
      <c r="K39" s="6">
        <v>43761</v>
      </c>
      <c r="L39" s="7" t="str">
        <f>"000076"</f>
        <v>000076</v>
      </c>
      <c r="M39" s="6">
        <v>43761</v>
      </c>
      <c r="N39" s="7">
        <v>16</v>
      </c>
      <c r="O39" s="7" t="str">
        <f>"006124"</f>
        <v>006124</v>
      </c>
      <c r="P39" s="6">
        <v>43776</v>
      </c>
      <c r="Q39" s="9">
        <v>7.9331800000000001</v>
      </c>
      <c r="R39" s="9">
        <v>0.78424000000000005</v>
      </c>
      <c r="S39" s="9">
        <v>7.1489399999999996</v>
      </c>
      <c r="T39" s="7">
        <v>13</v>
      </c>
      <c r="U39" s="6">
        <v>43777</v>
      </c>
      <c r="V39" s="7">
        <v>9845036718</v>
      </c>
      <c r="W39" s="8" t="s">
        <v>41</v>
      </c>
      <c r="X39" s="7" t="s">
        <v>38</v>
      </c>
      <c r="Y39" s="8" t="s">
        <v>37</v>
      </c>
      <c r="Z39" s="7" t="s">
        <v>42</v>
      </c>
      <c r="AA39" s="8" t="s">
        <v>43</v>
      </c>
      <c r="AB39" s="9">
        <v>7.9331800000000008E-2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2020-01-28T12:05:48Z</dcterms:modified>
</cp:coreProperties>
</file>