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6" i="1" l="1"/>
  <c r="L36" i="1"/>
  <c r="J36" i="1"/>
  <c r="H36" i="1"/>
  <c r="O35" i="1"/>
  <c r="L35" i="1"/>
  <c r="J35" i="1"/>
  <c r="H35" i="1"/>
  <c r="O34" i="1"/>
  <c r="L34" i="1"/>
  <c r="J34" i="1"/>
  <c r="H34" i="1"/>
  <c r="O33" i="1"/>
  <c r="L33" i="1"/>
  <c r="J33" i="1"/>
  <c r="H33" i="1"/>
  <c r="O32" i="1"/>
  <c r="L32" i="1"/>
  <c r="J32" i="1"/>
  <c r="H32" i="1"/>
  <c r="O31" i="1"/>
  <c r="L31" i="1"/>
  <c r="J31" i="1"/>
  <c r="H31" i="1"/>
  <c r="O30" i="1"/>
  <c r="L30" i="1"/>
  <c r="J30" i="1"/>
  <c r="H30" i="1"/>
  <c r="O29" i="1"/>
  <c r="L29" i="1"/>
  <c r="J29" i="1"/>
  <c r="H29" i="1"/>
  <c r="O28" i="1"/>
  <c r="L28" i="1"/>
  <c r="J28" i="1"/>
  <c r="H28" i="1"/>
  <c r="O27" i="1"/>
  <c r="L27" i="1"/>
  <c r="J27" i="1"/>
  <c r="H27" i="1"/>
  <c r="O26" i="1"/>
  <c r="L26" i="1"/>
  <c r="J26" i="1"/>
  <c r="H26" i="1"/>
  <c r="O25" i="1"/>
  <c r="L25" i="1"/>
  <c r="J25" i="1"/>
  <c r="H25" i="1"/>
  <c r="O24" i="1"/>
  <c r="L24" i="1"/>
  <c r="J24" i="1"/>
  <c r="H24" i="1"/>
  <c r="O23" i="1"/>
  <c r="L23" i="1"/>
  <c r="J23" i="1"/>
  <c r="H23"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<sst xmlns="http://schemas.openxmlformats.org/spreadsheetml/2006/main" count="343" uniqueCount="136">
  <si>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</si>
  <si>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</si>
  <si>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</si>
  <si>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</si>
  <si>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</si>
  <si>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</si>
  <si>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</si>
  <si>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</si>
  <si>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</si>
  <si>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</si>
  <si>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</si>
  <si>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</si>
  <si>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</si>
  <si>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</si>
  <si>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</si>
  <si>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</si>
  <si>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</si>
  <si>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</si>
  <si>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</si>
  <si>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</si>
  <si>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</si>
  <si>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</si>
  <si>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</si>
  <si>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</si>
  <si>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</si>
  <si>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</si>
  <si>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</si>
  <si>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</si>
  <si>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</si>
  <si>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P1771</t>
  </si>
  <si>
    <t>Zone Works - POW Works</t>
  </si>
  <si>
    <t>May</t>
  </si>
  <si>
    <t>M and R to Street Lights - Replacement of Burnt Bulbs etc. (Package)</t>
  </si>
  <si>
    <t>P0300</t>
  </si>
  <si>
    <t>ddo209</t>
  </si>
  <si>
    <t xml:space="preserve"> Assistant Executive Engineer Electrical West Zone</t>
  </si>
  <si>
    <t>Dayananda Nagara</t>
  </si>
  <si>
    <t>097-16-000015</t>
  </si>
  <si>
    <t>M and R to Electrical Installation in Parks, Garden Play ground and Burial ground in Rajajinagar Constituency Areas in ward no- 97, 98, 99, 100, 101, 107 and 108</t>
  </si>
  <si>
    <t>Manoj Enterprises</t>
  </si>
  <si>
    <t>P0298</t>
  </si>
  <si>
    <t>M and R to Electrical Installations in Parks and Gardens, Playgrounds, Burial Grounds</t>
  </si>
  <si>
    <t>097-16-000001</t>
  </si>
  <si>
    <t xml:space="preserve"> Annual Operation And maintenance Of Street Lights at Dayanandanagara and Prakashnagara in Ward No- 97 and 98</t>
  </si>
  <si>
    <t>M P Electricals</t>
  </si>
  <si>
    <t>097-17-000014</t>
  </si>
  <si>
    <t>Providing cement concret road to Muddappa garden main road (from 5th cross dayanadanagar to 3rd cross Brahmpura ) in Ward 97</t>
  </si>
  <si>
    <t>C.Lokesh</t>
  </si>
  <si>
    <t>ddo203</t>
  </si>
  <si>
    <t xml:space="preserve"> Assistant Executive Engineer Shri Ramamandir West Zone</t>
  </si>
  <si>
    <t>097-15-000010</t>
  </si>
  <si>
    <t>Drilling of new Borewell and Electrification and motor fixing in Bhasham nagar park in Ward no-97</t>
  </si>
  <si>
    <t>KRIDL</t>
  </si>
  <si>
    <t>P1802</t>
  </si>
  <si>
    <t>Water Supply New Areas</t>
  </si>
  <si>
    <t>July</t>
  </si>
  <si>
    <t>097-18-000019</t>
  </si>
  <si>
    <t>Providing CC camera in garbage block spot in ward no-97</t>
  </si>
  <si>
    <t xml:space="preserve">Karnataka Rural Infrastructure Development Limited </t>
  </si>
  <si>
    <t>P1878</t>
  </si>
  <si>
    <t>18per - Works (Bhagyajyothi, Sooru / Neeru Yojane and General) (54 Lakhs / New Wards)</t>
  </si>
  <si>
    <t>097-18-000011</t>
  </si>
  <si>
    <t>Construction of Anganavadi building at ramakrishnasevanagar harijana colony in ward no-97</t>
  </si>
  <si>
    <t>097-18-000022</t>
  </si>
  <si>
    <t>Reconstruction of toilets Ambedkarnagar slum and 7th main srirampura slum in ward no-97</t>
  </si>
  <si>
    <t>097-18-000017</t>
  </si>
  <si>
    <t>Maintenance of Anganawadi building at Ambedkarnagar in ward no-97</t>
  </si>
  <si>
    <t>097-17-000026</t>
  </si>
  <si>
    <t>Improvements and Asphalting to 1st and 2nd main roads of Lakshminarayanapura in ward no 97 (Comprehensive Development of works in ward no. 97, 98, 108, 99, 101 and 107 of Rajajinagar Division for the year 2016-17 and 2017-18 (No of works 24)</t>
  </si>
  <si>
    <t>M/S. Civil Quality Consultants and Engineers</t>
  </si>
  <si>
    <t>P3158</t>
  </si>
  <si>
    <t>SIP Infrastructure Project works</t>
  </si>
  <si>
    <t>097-18-000007</t>
  </si>
  <si>
    <t>Special Repair painting and plumbing works at office building at ward no 97</t>
  </si>
  <si>
    <t>P0190</t>
  </si>
  <si>
    <t>Works sanctioned by Hon Mayor</t>
  </si>
  <si>
    <t>097-18-000006</t>
  </si>
  <si>
    <t>Special Repair and pointing and balance work at Yoga Centre Library building at 7th cross Dayananda Nagara in ward no 97</t>
  </si>
  <si>
    <t>August</t>
  </si>
  <si>
    <t>097-17-000029</t>
  </si>
  <si>
    <t>Improvements and Asphalting to 8th main from Prakashanagara Srirama Mandira temple to srirampura Ramamandira Dayanandanagara ward no 97 (Comprehensive Development of works in ward no. 97, 98, 108, 99, 101 and 107 of Rajajinagar Division for the year 2016-17 and 2017-18 (No of works 24)</t>
  </si>
  <si>
    <t>M/s. Civil Quality Consultants and Engineers,</t>
  </si>
  <si>
    <t>097-18-000021</t>
  </si>
  <si>
    <t>Drilling and commissioning and water supply connection at dayanandanagar surrounding area in ward no-97</t>
  </si>
  <si>
    <t>097-18-000016</t>
  </si>
  <si>
    <t>Construction of tailoring class at Dayanandanagar 2nd cross in ward no-97</t>
  </si>
  <si>
    <t>097-18-000015</t>
  </si>
  <si>
    <t>Construction of health center at 2nd cross in ward no-97</t>
  </si>
  <si>
    <t>September</t>
  </si>
  <si>
    <t>097-18-000009</t>
  </si>
  <si>
    <t>Improvements of CC roads and drains at Ambedkar nagar in ward no-97</t>
  </si>
  <si>
    <t>097-17-000015</t>
  </si>
  <si>
    <t>Upgrading Street lighting of Bangalore- Major Roads in Rajajinagar Constituency Areas in ward no- 97, 98, 99, 100, 101, 107 and 108</t>
  </si>
  <si>
    <t>Sri Lakshmi Narasimha Electricals</t>
  </si>
  <si>
    <t>P1517</t>
  </si>
  <si>
    <t>Upgrading Street Lighting of Bangalore - Major Roads</t>
  </si>
  <si>
    <t>097-18-000012</t>
  </si>
  <si>
    <t>Improvements of CC roads and drains at ramakrishnasevanagar harijana colony in ward no-97</t>
  </si>
  <si>
    <t>097-18-000010</t>
  </si>
  <si>
    <t>Constructing of roads at Ramakrishna sevanagar and Dayanandanagar cross road in ward no-97</t>
  </si>
  <si>
    <t>November</t>
  </si>
  <si>
    <t>097-17-000016</t>
  </si>
  <si>
    <t>Improvements of drains and Providing CC to 1st main L N Pura and its cross roads of Lakshminarayanapuram in ward no 97</t>
  </si>
  <si>
    <t>P3172</t>
  </si>
  <si>
    <t>Special Development works in ward No.177,78,97, 57,99,100,68,11,126,168, 113,02, 181,03, 21,33,23,24,27 ,59,53,57,81,47, 45,72, 50,91,92,117,145,146,147,148,151,152, 122,134, 157, 84,85,150,163, 179,180, 170, 171, 175,176, 173,174, 186,189, 190,193,185,191,194, 195,196, 127, (Rs.200 lakhs each ward)</t>
  </si>
  <si>
    <t>097-17-000017</t>
  </si>
  <si>
    <t>Improvements to drain and Providing CC to 3rd main 9th cross 10th cross 10th A cross of Lakshminarayana Puram in ward no 97</t>
  </si>
  <si>
    <t>097-17-000020</t>
  </si>
  <si>
    <t>Improvements to drain and providing CC to RGI colony main roads and its cross roas in ward no 97</t>
  </si>
  <si>
    <t>December</t>
  </si>
  <si>
    <t>097-14-000026</t>
  </si>
  <si>
    <t>Providing Cement Concrete road at RKS Nagar 7th cross in Ward No-97</t>
  </si>
  <si>
    <t>097-14-000027</t>
  </si>
  <si>
    <t>Providing Cement Concrete road at Venkateshwara Harijana colony in Ward No-97</t>
  </si>
  <si>
    <t>097-17-000011</t>
  </si>
  <si>
    <t>Providing Asphalting to 3rd cross Bhasyam nagar in Ward 97</t>
  </si>
  <si>
    <t>M.S. Venkatesh</t>
  </si>
  <si>
    <t>097-17-000009</t>
  </si>
  <si>
    <t>Providing Asphalting to 1st cross Bhasyam nagar in Ward 97</t>
  </si>
  <si>
    <t>097-17-000010</t>
  </si>
  <si>
    <t>Providing Asphalting to 2nd cross Bhasyam nagar in Ward 97</t>
  </si>
  <si>
    <t>097-17-000012</t>
  </si>
  <si>
    <t>Providing Asphalting to 4th cross Bhasyam nagar in Ward 97</t>
  </si>
  <si>
    <t>097-17-000013</t>
  </si>
  <si>
    <t>Providing Asphalting to5th cross Bhasyam nagar in Ward 97</t>
  </si>
  <si>
    <t>097-18-000023</t>
  </si>
  <si>
    <t>Providing CC roads in 7th cross ward no 97 Dayanandanagar</t>
  </si>
  <si>
    <t>M.S Venkatesh</t>
  </si>
  <si>
    <t>097-18-000024</t>
  </si>
  <si>
    <t>Providing CC roads in 6th cross ward no 97 Dayanandanagar</t>
  </si>
  <si>
    <t>097-18-000025</t>
  </si>
  <si>
    <t>Providing CC roads in 3rd 4th and 5th cross ward no 97 Dayanandanagar</t>
  </si>
  <si>
    <t>097-18-000026</t>
  </si>
  <si>
    <t>Providing CC roads between 5th and 6th cross conservency in ward no 97 Dayanandanagar</t>
  </si>
  <si>
    <t>097-14-000028</t>
  </si>
  <si>
    <t>Providing Cement Concrete road at RKS nagar 6th cross in Ward No-97</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</si>
</sst>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6"/>
  <sheetViews>
    <sheetView tabSelected="1" workbookViewId="0">
      <selection activeCell="A2" sqref="A2:XFD36"/>
    </sheetView>
  </sheetViews>
  <sheetFormatPr defaultRowHeight="14.5" x14ac:dyDescent="0.35"/>
  <cols>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3242</v>
      </c>
      <c r="B2" s="5" t="s">
        <v>28</v>
      </c>
      <c r="C2" s="6">
        <v>43566</v>
      </c>
      <c r="D2" s="7">
        <v>97</v>
      </c>
      <c r="E2" s="8" t="s">
        <v>36</v>
      </c>
      <c r="F2" s="7" t="s">
        <v>37</v>
      </c>
      <c r="G2" s="8" t="s">
        <v>38</v>
      </c>
      <c r="H2" s="7" t="str">
        <f>"000054"</f>
        <v>000054</v>
      </c>
      <c r="I2" s="6">
        <v>42905</v>
      </c>
      <c r="J2" s="7" t="str">
        <f>"000129"</f>
        <v>000129</v>
      </c>
      <c r="K2" s="6">
        <v>42915</v>
      </c>
      <c r="L2" s="7" t="str">
        <f>"000239"</f>
        <v>000239</v>
      </c>
      <c r="M2" s="6">
        <v>42915</v>
      </c>
      <c r="N2" s="7">
        <v>16</v>
      </c>
      <c r="O2" s="7" t="str">
        <f>"000085"</f>
        <v>000085</v>
      </c>
      <c r="P2" s="6">
        <v>43563</v>
      </c>
      <c r="Q2" s="9">
        <v>1.3142499999999999</v>
      </c>
      <c r="R2" s="9">
        <v>0.18531</v>
      </c>
      <c r="S2" s="9">
        <v>1.1289400000000001</v>
      </c>
      <c r="T2" s="7">
        <v>12</v>
      </c>
      <c r="U2" s="6">
        <v>43566</v>
      </c>
      <c r="V2" s="7">
        <v>9845008155</v>
      </c>
      <c r="W2" s="8" t="s">
        <v>39</v>
      </c>
      <c r="X2" s="7" t="s">
        <v>40</v>
      </c>
      <c r="Y2" s="8" t="s">
        <v>41</v>
      </c>
      <c r="Z2" s="7" t="s">
        <v>34</v>
      </c>
      <c r="AA2" s="8" t="s">
        <v>35</v>
      </c>
      <c r="AB2" s="9">
        <f t="shared" ref="AB2:AB21" si="0">Q2/100</f>
        <v>1.31425E-2</v>
      </c>
    </row>
    <row r="3" spans="1:28" x14ac:dyDescent="0.35">
      <c r="A3" s="4">
        <v>3243</v>
      </c>
      <c r="B3" s="5" t="s">
        <v>28</v>
      </c>
      <c r="C3" s="6">
        <v>43580</v>
      </c>
      <c r="D3" s="7">
        <v>97</v>
      </c>
      <c r="E3" s="8" t="s">
        <v>36</v>
      </c>
      <c r="F3" s="7" t="s">
        <v>42</v>
      </c>
      <c r="G3" s="8" t="s">
        <v>43</v>
      </c>
      <c r="H3" s="7" t="str">
        <f>"000006"</f>
        <v>000006</v>
      </c>
      <c r="I3" s="6">
        <v>42931</v>
      </c>
      <c r="J3" s="7" t="str">
        <f>"000217"</f>
        <v>000217</v>
      </c>
      <c r="K3" s="6">
        <v>43498</v>
      </c>
      <c r="L3" s="7" t="str">
        <f>"000216"</f>
        <v>000216</v>
      </c>
      <c r="M3" s="6">
        <v>43498</v>
      </c>
      <c r="N3" s="7">
        <v>16</v>
      </c>
      <c r="O3" s="7" t="str">
        <f>"000983"</f>
        <v>000983</v>
      </c>
      <c r="P3" s="6">
        <v>43579</v>
      </c>
      <c r="Q3" s="9">
        <v>7.2325999999999997</v>
      </c>
      <c r="R3" s="9">
        <v>0.71499999999999997</v>
      </c>
      <c r="S3" s="9">
        <v>6.5175999999999998</v>
      </c>
      <c r="T3" s="7">
        <v>29</v>
      </c>
      <c r="U3" s="6">
        <v>43580</v>
      </c>
      <c r="V3" s="7">
        <v>9448069096</v>
      </c>
      <c r="W3" s="8" t="s">
        <v>44</v>
      </c>
      <c r="X3" s="7" t="s">
        <v>33</v>
      </c>
      <c r="Y3" s="8" t="s">
        <v>32</v>
      </c>
      <c r="Z3" s="7" t="s">
        <v>34</v>
      </c>
      <c r="AA3" s="8" t="s">
        <v>35</v>
      </c>
      <c r="AB3" s="9">
        <f t="shared" si="0"/>
        <v>7.2326000000000001E-2</v>
      </c>
    </row>
    <row r="4" spans="1:28" x14ac:dyDescent="0.35">
      <c r="A4" s="4">
        <v>3244</v>
      </c>
      <c r="B4" s="5" t="s">
        <v>31</v>
      </c>
      <c r="C4" s="6">
        <v>43591</v>
      </c>
      <c r="D4" s="7">
        <v>97</v>
      </c>
      <c r="E4" s="8" t="s">
        <v>36</v>
      </c>
      <c r="F4" s="7" t="s">
        <v>45</v>
      </c>
      <c r="G4" s="8" t="s">
        <v>46</v>
      </c>
      <c r="H4" s="7" t="str">
        <f>"000055"</f>
        <v>000055</v>
      </c>
      <c r="I4" s="6">
        <v>42950</v>
      </c>
      <c r="J4" s="7" t="str">
        <f>"000016"</f>
        <v>000016</v>
      </c>
      <c r="K4" s="6">
        <v>42977</v>
      </c>
      <c r="L4" s="7" t="str">
        <f>"000396"</f>
        <v>000396</v>
      </c>
      <c r="M4" s="6">
        <v>42978</v>
      </c>
      <c r="N4" s="7">
        <v>17</v>
      </c>
      <c r="O4" s="7" t="str">
        <f>"001305"</f>
        <v>001305</v>
      </c>
      <c r="P4" s="6">
        <v>43587</v>
      </c>
      <c r="Q4" s="9">
        <v>31.501000000000001</v>
      </c>
      <c r="R4" s="9">
        <v>4.5362799999999996</v>
      </c>
      <c r="S4" s="9">
        <v>26.96472</v>
      </c>
      <c r="T4" s="7">
        <v>37</v>
      </c>
      <c r="U4" s="6">
        <v>43591</v>
      </c>
      <c r="V4" s="7">
        <v>9972523639</v>
      </c>
      <c r="W4" s="8" t="s">
        <v>47</v>
      </c>
      <c r="X4" s="7" t="s">
        <v>29</v>
      </c>
      <c r="Y4" s="8" t="s">
        <v>30</v>
      </c>
      <c r="Z4" s="7" t="s">
        <v>48</v>
      </c>
      <c r="AA4" s="8" t="s">
        <v>49</v>
      </c>
      <c r="AB4" s="9">
        <f t="shared" si="0"/>
        <v>0.31501000000000001</v>
      </c>
    </row>
    <row r="5" spans="1:28" x14ac:dyDescent="0.35">
      <c r="A5" s="4">
        <v>3245</v>
      </c>
      <c r="B5" s="5" t="s">
        <v>31</v>
      </c>
      <c r="C5" s="6">
        <v>43591</v>
      </c>
      <c r="D5" s="7">
        <v>97</v>
      </c>
      <c r="E5" s="8" t="s">
        <v>36</v>
      </c>
      <c r="F5" s="7" t="s">
        <v>50</v>
      </c>
      <c r="G5" s="8" t="s">
        <v>51</v>
      </c>
      <c r="H5" s="7" t="str">
        <f>"000016"</f>
        <v>000016</v>
      </c>
      <c r="I5" s="6">
        <v>42111</v>
      </c>
      <c r="J5" s="7" t="str">
        <f>"000087"</f>
        <v>000087</v>
      </c>
      <c r="K5" s="6">
        <v>42270</v>
      </c>
      <c r="L5" s="7" t="str">
        <f>"000345"</f>
        <v>000345</v>
      </c>
      <c r="M5" s="6">
        <v>42293</v>
      </c>
      <c r="N5" s="7">
        <v>15</v>
      </c>
      <c r="O5" s="7" t="str">
        <f>"001219"</f>
        <v>001219</v>
      </c>
      <c r="P5" s="6">
        <v>43584</v>
      </c>
      <c r="Q5" s="9">
        <v>4.5932000000000004</v>
      </c>
      <c r="R5" s="9">
        <v>0.61670000000000003</v>
      </c>
      <c r="S5" s="9">
        <v>3.9765000000000001</v>
      </c>
      <c r="T5" s="7">
        <v>38</v>
      </c>
      <c r="U5" s="6">
        <v>43591</v>
      </c>
      <c r="V5" s="7">
        <v>9449863068</v>
      </c>
      <c r="W5" s="8" t="s">
        <v>52</v>
      </c>
      <c r="X5" s="7" t="s">
        <v>53</v>
      </c>
      <c r="Y5" s="8" t="s">
        <v>54</v>
      </c>
      <c r="Z5" s="7" t="s">
        <v>48</v>
      </c>
      <c r="AA5" s="8" t="s">
        <v>49</v>
      </c>
      <c r="AB5" s="9">
        <f t="shared" si="0"/>
        <v>4.5932000000000001E-2</v>
      </c>
    </row>
    <row r="6" spans="1:28" x14ac:dyDescent="0.35">
      <c r="A6" s="4">
        <v>3246</v>
      </c>
      <c r="B6" s="5" t="s">
        <v>55</v>
      </c>
      <c r="C6" s="6">
        <v>43672</v>
      </c>
      <c r="D6" s="7">
        <v>97</v>
      </c>
      <c r="E6" s="8" t="s">
        <v>36</v>
      </c>
      <c r="F6" s="7" t="s">
        <v>56</v>
      </c>
      <c r="G6" s="10" t="s">
        <v>57</v>
      </c>
      <c r="H6" s="7" t="str">
        <f>"000060"</f>
        <v>000060</v>
      </c>
      <c r="I6" s="6">
        <v>43617</v>
      </c>
      <c r="J6" s="7" t="str">
        <f>"000033"</f>
        <v>000033</v>
      </c>
      <c r="K6" s="6">
        <v>43627</v>
      </c>
      <c r="L6" s="7" t="str">
        <f>"000058"</f>
        <v>000058</v>
      </c>
      <c r="M6" s="6">
        <v>43629</v>
      </c>
      <c r="N6" s="7">
        <v>18</v>
      </c>
      <c r="O6" s="7" t="str">
        <f>"003795"</f>
        <v>003795</v>
      </c>
      <c r="P6" s="6">
        <v>43665</v>
      </c>
      <c r="Q6" s="11">
        <v>19.64545</v>
      </c>
      <c r="R6" s="11">
        <v>1.78772</v>
      </c>
      <c r="S6" s="11">
        <v>17.85773</v>
      </c>
      <c r="T6" s="7">
        <v>127</v>
      </c>
      <c r="U6" s="6">
        <v>43672</v>
      </c>
      <c r="V6" s="7">
        <v>9945867208</v>
      </c>
      <c r="W6" s="10" t="s">
        <v>58</v>
      </c>
      <c r="X6" s="7" t="s">
        <v>59</v>
      </c>
      <c r="Y6" s="10" t="s">
        <v>60</v>
      </c>
      <c r="Z6" s="7" t="s">
        <v>48</v>
      </c>
      <c r="AA6" s="10" t="s">
        <v>49</v>
      </c>
      <c r="AB6" s="11">
        <f t="shared" si="0"/>
        <v>0.1964545</v>
      </c>
    </row>
    <row r="7" spans="1:28" x14ac:dyDescent="0.35">
      <c r="A7" s="4">
        <v>3247</v>
      </c>
      <c r="B7" s="5" t="s">
        <v>55</v>
      </c>
      <c r="C7" s="6">
        <v>43672</v>
      </c>
      <c r="D7" s="7">
        <v>97</v>
      </c>
      <c r="E7" s="8" t="s">
        <v>36</v>
      </c>
      <c r="F7" s="7" t="s">
        <v>61</v>
      </c>
      <c r="G7" s="10" t="s">
        <v>62</v>
      </c>
      <c r="H7" s="7" t="str">
        <f>"000258"</f>
        <v>000258</v>
      </c>
      <c r="I7" s="6">
        <v>43214</v>
      </c>
      <c r="J7" s="7" t="str">
        <f>"000013"</f>
        <v>000013</v>
      </c>
      <c r="K7" s="6">
        <v>43612</v>
      </c>
      <c r="L7" s="7" t="str">
        <f>"000045"</f>
        <v>000045</v>
      </c>
      <c r="M7" s="6">
        <v>43623</v>
      </c>
      <c r="N7" s="7">
        <v>18</v>
      </c>
      <c r="O7" s="7" t="str">
        <f>"003796"</f>
        <v>003796</v>
      </c>
      <c r="P7" s="6">
        <v>43665</v>
      </c>
      <c r="Q7" s="11">
        <v>18.68308</v>
      </c>
      <c r="R7" s="11">
        <v>1.9795400000000001</v>
      </c>
      <c r="S7" s="11">
        <v>16.70354</v>
      </c>
      <c r="T7" s="7">
        <v>127</v>
      </c>
      <c r="U7" s="6">
        <v>43672</v>
      </c>
      <c r="V7" s="7">
        <v>9449863068</v>
      </c>
      <c r="W7" s="10" t="s">
        <v>52</v>
      </c>
      <c r="X7" s="7" t="s">
        <v>59</v>
      </c>
      <c r="Y7" s="10" t="s">
        <v>60</v>
      </c>
      <c r="Z7" s="7" t="s">
        <v>48</v>
      </c>
      <c r="AA7" s="10" t="s">
        <v>49</v>
      </c>
      <c r="AB7" s="11">
        <f t="shared" si="0"/>
        <v>0.18683079999999999</v>
      </c>
    </row>
    <row r="8" spans="1:28" x14ac:dyDescent="0.35">
      <c r="A8" s="4">
        <v>3248</v>
      </c>
      <c r="B8" s="5" t="s">
        <v>55</v>
      </c>
      <c r="C8" s="6">
        <v>43672</v>
      </c>
      <c r="D8" s="7">
        <v>97</v>
      </c>
      <c r="E8" s="8" t="s">
        <v>36</v>
      </c>
      <c r="F8" s="7" t="s">
        <v>63</v>
      </c>
      <c r="G8" s="10" t="s">
        <v>64</v>
      </c>
      <c r="H8" s="7" t="str">
        <f>"000262"</f>
        <v>000262</v>
      </c>
      <c r="I8" s="6">
        <v>43216</v>
      </c>
      <c r="J8" s="7" t="str">
        <f>"000014"</f>
        <v>000014</v>
      </c>
      <c r="K8" s="6">
        <v>43613</v>
      </c>
      <c r="L8" s="7" t="str">
        <f>"000043"</f>
        <v>000043</v>
      </c>
      <c r="M8" s="6">
        <v>43623</v>
      </c>
      <c r="N8" s="7">
        <v>18</v>
      </c>
      <c r="O8" s="7" t="str">
        <f>"003797"</f>
        <v>003797</v>
      </c>
      <c r="P8" s="6">
        <v>43665</v>
      </c>
      <c r="Q8" s="11">
        <v>19.531500000000001</v>
      </c>
      <c r="R8" s="11">
        <v>2.0677699999999999</v>
      </c>
      <c r="S8" s="11">
        <v>17.463730000000002</v>
      </c>
      <c r="T8" s="7">
        <v>127</v>
      </c>
      <c r="U8" s="6">
        <v>43672</v>
      </c>
      <c r="V8" s="7">
        <v>9449863068</v>
      </c>
      <c r="W8" s="10" t="s">
        <v>52</v>
      </c>
      <c r="X8" s="7" t="s">
        <v>59</v>
      </c>
      <c r="Y8" s="10" t="s">
        <v>60</v>
      </c>
      <c r="Z8" s="7" t="s">
        <v>48</v>
      </c>
      <c r="AA8" s="10" t="s">
        <v>49</v>
      </c>
      <c r="AB8" s="11">
        <f t="shared" si="0"/>
        <v>0.19531500000000002</v>
      </c>
    </row>
    <row r="9" spans="1:28" x14ac:dyDescent="0.35">
      <c r="A9" s="4">
        <v>3249</v>
      </c>
      <c r="B9" s="5" t="s">
        <v>55</v>
      </c>
      <c r="C9" s="6">
        <v>43672</v>
      </c>
      <c r="D9" s="7">
        <v>97</v>
      </c>
      <c r="E9" s="8" t="s">
        <v>36</v>
      </c>
      <c r="F9" s="7" t="s">
        <v>65</v>
      </c>
      <c r="G9" s="10" t="s">
        <v>66</v>
      </c>
      <c r="H9" s="7" t="str">
        <f>"000056"</f>
        <v>000056</v>
      </c>
      <c r="I9" s="6">
        <v>43614</v>
      </c>
      <c r="J9" s="7" t="str">
        <f>"000023"</f>
        <v>000023</v>
      </c>
      <c r="K9" s="6">
        <v>43614</v>
      </c>
      <c r="L9" s="7" t="str">
        <f>"000044"</f>
        <v>000044</v>
      </c>
      <c r="M9" s="6">
        <v>43623</v>
      </c>
      <c r="N9" s="7">
        <v>18</v>
      </c>
      <c r="O9" s="7" t="str">
        <f>"003798"</f>
        <v>003798</v>
      </c>
      <c r="P9" s="6">
        <v>43665</v>
      </c>
      <c r="Q9" s="11">
        <v>9.7324999999999999</v>
      </c>
      <c r="R9" s="11">
        <v>0.99690000000000001</v>
      </c>
      <c r="S9" s="11">
        <v>8.7355999999999998</v>
      </c>
      <c r="T9" s="7">
        <v>127</v>
      </c>
      <c r="U9" s="6">
        <v>43672</v>
      </c>
      <c r="V9" s="7">
        <v>9945867208</v>
      </c>
      <c r="W9" s="10" t="s">
        <v>58</v>
      </c>
      <c r="X9" s="7" t="s">
        <v>59</v>
      </c>
      <c r="Y9" s="10" t="s">
        <v>60</v>
      </c>
      <c r="Z9" s="7" t="s">
        <v>48</v>
      </c>
      <c r="AA9" s="10" t="s">
        <v>49</v>
      </c>
      <c r="AB9" s="11">
        <f t="shared" si="0"/>
        <v>9.7324999999999995E-2</v>
      </c>
    </row>
    <row r="10" spans="1:28" x14ac:dyDescent="0.35">
      <c r="A10" s="4">
        <v>3250</v>
      </c>
      <c r="B10" s="5" t="s">
        <v>55</v>
      </c>
      <c r="C10" s="6">
        <v>43676</v>
      </c>
      <c r="D10" s="7">
        <v>97</v>
      </c>
      <c r="E10" s="8" t="s">
        <v>36</v>
      </c>
      <c r="F10" s="7" t="s">
        <v>67</v>
      </c>
      <c r="G10" s="10" t="s">
        <v>68</v>
      </c>
      <c r="H10" s="7" t="str">
        <f>"000305"</f>
        <v>000305</v>
      </c>
      <c r="I10" s="6">
        <v>43278</v>
      </c>
      <c r="J10" s="7" t="str">
        <f>"000048"</f>
        <v>000048</v>
      </c>
      <c r="K10" s="6">
        <v>43382</v>
      </c>
      <c r="L10" s="7" t="str">
        <f>"000102"</f>
        <v>000102</v>
      </c>
      <c r="M10" s="6">
        <v>43389</v>
      </c>
      <c r="N10" s="7">
        <v>17</v>
      </c>
      <c r="O10" s="7" t="str">
        <f>"008285"</f>
        <v>008285</v>
      </c>
      <c r="P10" s="6">
        <v>43461</v>
      </c>
      <c r="Q10" s="11">
        <v>0.55000000000000004</v>
      </c>
      <c r="R10" s="11">
        <v>5.5E-2</v>
      </c>
      <c r="S10" s="11">
        <v>0.495</v>
      </c>
      <c r="T10" s="7">
        <v>134</v>
      </c>
      <c r="U10" s="6">
        <v>43676</v>
      </c>
      <c r="V10" s="7">
        <v>8123256061</v>
      </c>
      <c r="W10" s="10" t="s">
        <v>69</v>
      </c>
      <c r="X10" s="7" t="s">
        <v>70</v>
      </c>
      <c r="Y10" s="10" t="s">
        <v>71</v>
      </c>
      <c r="Z10" s="7" t="s">
        <v>48</v>
      </c>
      <c r="AA10" s="10" t="s">
        <v>49</v>
      </c>
      <c r="AB10" s="11">
        <f t="shared" si="0"/>
        <v>5.5000000000000005E-3</v>
      </c>
    </row>
    <row r="11" spans="1:28" x14ac:dyDescent="0.35">
      <c r="A11" s="4">
        <v>3251</v>
      </c>
      <c r="B11" s="5" t="s">
        <v>55</v>
      </c>
      <c r="C11" s="6">
        <v>43677</v>
      </c>
      <c r="D11" s="7">
        <v>97</v>
      </c>
      <c r="E11" s="8" t="s">
        <v>36</v>
      </c>
      <c r="F11" s="7" t="s">
        <v>72</v>
      </c>
      <c r="G11" s="10" t="s">
        <v>73</v>
      </c>
      <c r="H11" s="7" t="str">
        <f>"000286"</f>
        <v>000286</v>
      </c>
      <c r="I11" s="6">
        <v>43253</v>
      </c>
      <c r="J11" s="7" t="str">
        <f>"000010"</f>
        <v>000010</v>
      </c>
      <c r="K11" s="6">
        <v>43263</v>
      </c>
      <c r="L11" s="7" t="str">
        <f>"000031"</f>
        <v>000031</v>
      </c>
      <c r="M11" s="6">
        <v>43273</v>
      </c>
      <c r="N11" s="7">
        <v>18</v>
      </c>
      <c r="O11" s="7" t="str">
        <f>"004073"</f>
        <v>004073</v>
      </c>
      <c r="P11" s="6">
        <v>43672</v>
      </c>
      <c r="Q11" s="11">
        <v>5.98048</v>
      </c>
      <c r="R11" s="11">
        <v>0.59699000000000002</v>
      </c>
      <c r="S11" s="11">
        <v>5.3834900000000001</v>
      </c>
      <c r="T11" s="7">
        <v>136</v>
      </c>
      <c r="U11" s="6">
        <v>43677</v>
      </c>
      <c r="V11" s="7">
        <v>9449863068</v>
      </c>
      <c r="W11" s="10" t="s">
        <v>52</v>
      </c>
      <c r="X11" s="7" t="s">
        <v>74</v>
      </c>
      <c r="Y11" s="10" t="s">
        <v>75</v>
      </c>
      <c r="Z11" s="7" t="s">
        <v>48</v>
      </c>
      <c r="AA11" s="10" t="s">
        <v>49</v>
      </c>
      <c r="AB11" s="11">
        <f t="shared" si="0"/>
        <v>5.9804799999999998E-2</v>
      </c>
    </row>
    <row r="12" spans="1:28" x14ac:dyDescent="0.35">
      <c r="A12" s="4">
        <v>3252</v>
      </c>
      <c r="B12" s="5" t="s">
        <v>55</v>
      </c>
      <c r="C12" s="6">
        <v>43677</v>
      </c>
      <c r="D12" s="7">
        <v>97</v>
      </c>
      <c r="E12" s="8" t="s">
        <v>36</v>
      </c>
      <c r="F12" s="7" t="s">
        <v>76</v>
      </c>
      <c r="G12" s="10" t="s">
        <v>77</v>
      </c>
      <c r="H12" s="7" t="str">
        <f>"000285"</f>
        <v>000285</v>
      </c>
      <c r="I12" s="6">
        <v>43253</v>
      </c>
      <c r="J12" s="7" t="str">
        <f>"000009"</f>
        <v>000009</v>
      </c>
      <c r="K12" s="6">
        <v>43262</v>
      </c>
      <c r="L12" s="7" t="str">
        <f>"000032"</f>
        <v>000032</v>
      </c>
      <c r="M12" s="6">
        <v>43273</v>
      </c>
      <c r="N12" s="7">
        <v>18</v>
      </c>
      <c r="O12" s="7" t="str">
        <f>"004074"</f>
        <v>004074</v>
      </c>
      <c r="P12" s="6">
        <v>43672</v>
      </c>
      <c r="Q12" s="11">
        <v>5.9848299999999997</v>
      </c>
      <c r="R12" s="11">
        <v>0.59340000000000004</v>
      </c>
      <c r="S12" s="11">
        <v>5.3914299999999997</v>
      </c>
      <c r="T12" s="7">
        <v>136</v>
      </c>
      <c r="U12" s="6">
        <v>43677</v>
      </c>
      <c r="V12" s="7">
        <v>9449863068</v>
      </c>
      <c r="W12" s="10" t="s">
        <v>52</v>
      </c>
      <c r="X12" s="7" t="s">
        <v>74</v>
      </c>
      <c r="Y12" s="10" t="s">
        <v>75</v>
      </c>
      <c r="Z12" s="7" t="s">
        <v>48</v>
      </c>
      <c r="AA12" s="10" t="s">
        <v>49</v>
      </c>
      <c r="AB12" s="11">
        <f t="shared" si="0"/>
        <v>5.9848299999999993E-2</v>
      </c>
    </row>
    <row r="13" spans="1:28" x14ac:dyDescent="0.35">
      <c r="A13" s="4">
        <v>3253</v>
      </c>
      <c r="B13" s="5" t="s">
        <v>78</v>
      </c>
      <c r="C13" s="6">
        <v>43679</v>
      </c>
      <c r="D13" s="7">
        <v>97</v>
      </c>
      <c r="E13" s="8" t="s">
        <v>36</v>
      </c>
      <c r="F13" s="7" t="s">
        <v>79</v>
      </c>
      <c r="G13" s="10" t="s">
        <v>80</v>
      </c>
      <c r="H13" s="7" t="str">
        <f>"000302"</f>
        <v>000302</v>
      </c>
      <c r="I13" s="6">
        <v>43278</v>
      </c>
      <c r="J13" s="7" t="str">
        <f>"000047"</f>
        <v>000047</v>
      </c>
      <c r="K13" s="6">
        <v>43382</v>
      </c>
      <c r="L13" s="7" t="str">
        <f>"000104"</f>
        <v>000104</v>
      </c>
      <c r="M13" s="6">
        <v>43389</v>
      </c>
      <c r="N13" s="7">
        <v>17</v>
      </c>
      <c r="O13" s="7" t="str">
        <f>"008286"</f>
        <v>008286</v>
      </c>
      <c r="P13" s="6">
        <v>43461</v>
      </c>
      <c r="Q13" s="11">
        <v>1.8</v>
      </c>
      <c r="R13" s="11">
        <v>0.18</v>
      </c>
      <c r="S13" s="11">
        <v>1.62</v>
      </c>
      <c r="T13" s="7">
        <v>139</v>
      </c>
      <c r="U13" s="6">
        <v>43679</v>
      </c>
      <c r="V13" s="7">
        <v>8123256061</v>
      </c>
      <c r="W13" s="10" t="s">
        <v>81</v>
      </c>
      <c r="X13" s="7" t="s">
        <v>70</v>
      </c>
      <c r="Y13" s="10" t="s">
        <v>71</v>
      </c>
      <c r="Z13" s="7" t="s">
        <v>48</v>
      </c>
      <c r="AA13" s="10" t="s">
        <v>49</v>
      </c>
      <c r="AB13" s="11">
        <f t="shared" si="0"/>
        <v>1.8000000000000002E-2</v>
      </c>
    </row>
    <row r="14" spans="1:28" x14ac:dyDescent="0.35">
      <c r="A14" s="4">
        <v>3254</v>
      </c>
      <c r="B14" s="5" t="s">
        <v>78</v>
      </c>
      <c r="C14" s="6">
        <v>43690</v>
      </c>
      <c r="D14" s="7">
        <v>97</v>
      </c>
      <c r="E14" s="8" t="s">
        <v>36</v>
      </c>
      <c r="F14" s="7" t="s">
        <v>82</v>
      </c>
      <c r="G14" s="10" t="s">
        <v>83</v>
      </c>
      <c r="H14" s="7" t="str">
        <f>"000259"</f>
        <v>000259</v>
      </c>
      <c r="I14" s="6">
        <v>43214</v>
      </c>
      <c r="J14" s="7" t="str">
        <f>"000015"</f>
        <v>000015</v>
      </c>
      <c r="K14" s="6">
        <v>43613</v>
      </c>
      <c r="L14" s="7" t="str">
        <f>"000048"</f>
        <v>000048</v>
      </c>
      <c r="M14" s="6">
        <v>43623</v>
      </c>
      <c r="N14" s="7">
        <v>18</v>
      </c>
      <c r="O14" s="7" t="str">
        <f>"004152"</f>
        <v>004152</v>
      </c>
      <c r="P14" s="6">
        <v>43678</v>
      </c>
      <c r="Q14" s="11">
        <v>9.8063300000000009</v>
      </c>
      <c r="R14" s="11">
        <v>0.99809999999999999</v>
      </c>
      <c r="S14" s="11">
        <v>8.80823</v>
      </c>
      <c r="T14" s="7">
        <v>152</v>
      </c>
      <c r="U14" s="6">
        <v>43690</v>
      </c>
      <c r="V14" s="7">
        <v>9449863068</v>
      </c>
      <c r="W14" s="10" t="s">
        <v>52</v>
      </c>
      <c r="X14" s="7" t="s">
        <v>59</v>
      </c>
      <c r="Y14" s="10" t="s">
        <v>60</v>
      </c>
      <c r="Z14" s="7" t="s">
        <v>48</v>
      </c>
      <c r="AA14" s="10" t="s">
        <v>49</v>
      </c>
      <c r="AB14" s="11">
        <f t="shared" si="0"/>
        <v>9.8063300000000006E-2</v>
      </c>
    </row>
    <row r="15" spans="1:28" x14ac:dyDescent="0.35">
      <c r="A15" s="4">
        <v>3255</v>
      </c>
      <c r="B15" s="5" t="s">
        <v>78</v>
      </c>
      <c r="C15" s="6">
        <v>43690</v>
      </c>
      <c r="D15" s="7">
        <v>97</v>
      </c>
      <c r="E15" s="8" t="s">
        <v>36</v>
      </c>
      <c r="F15" s="7" t="s">
        <v>84</v>
      </c>
      <c r="G15" s="10" t="s">
        <v>85</v>
      </c>
      <c r="H15" s="7" t="str">
        <f>"000265"</f>
        <v>000265</v>
      </c>
      <c r="I15" s="6">
        <v>43220</v>
      </c>
      <c r="J15" s="7" t="str">
        <f>"000050"</f>
        <v>000050</v>
      </c>
      <c r="K15" s="6">
        <v>43637</v>
      </c>
      <c r="L15" s="7" t="str">
        <f>"000064"</f>
        <v>000064</v>
      </c>
      <c r="M15" s="6">
        <v>43644</v>
      </c>
      <c r="N15" s="7">
        <v>18</v>
      </c>
      <c r="O15" s="7" t="str">
        <f>"004155"</f>
        <v>004155</v>
      </c>
      <c r="P15" s="6">
        <v>43678</v>
      </c>
      <c r="Q15" s="11">
        <v>24.341480000000001</v>
      </c>
      <c r="R15" s="11">
        <v>2.9358499999999998</v>
      </c>
      <c r="S15" s="11">
        <v>21.405629999999999</v>
      </c>
      <c r="T15" s="7">
        <v>152</v>
      </c>
      <c r="U15" s="6">
        <v>43690</v>
      </c>
      <c r="V15" s="7">
        <v>9449863068</v>
      </c>
      <c r="W15" s="10" t="s">
        <v>52</v>
      </c>
      <c r="X15" s="7" t="s">
        <v>59</v>
      </c>
      <c r="Y15" s="10" t="s">
        <v>60</v>
      </c>
      <c r="Z15" s="7" t="s">
        <v>48</v>
      </c>
      <c r="AA15" s="10" t="s">
        <v>49</v>
      </c>
      <c r="AB15" s="11">
        <f t="shared" si="0"/>
        <v>0.24341480000000001</v>
      </c>
    </row>
    <row r="16" spans="1:28" x14ac:dyDescent="0.35">
      <c r="A16" s="4">
        <v>3256</v>
      </c>
      <c r="B16" s="5" t="s">
        <v>78</v>
      </c>
      <c r="C16" s="6">
        <v>43690</v>
      </c>
      <c r="D16" s="7">
        <v>97</v>
      </c>
      <c r="E16" s="8" t="s">
        <v>36</v>
      </c>
      <c r="F16" s="7" t="s">
        <v>86</v>
      </c>
      <c r="G16" s="10" t="s">
        <v>87</v>
      </c>
      <c r="H16" s="7" t="str">
        <f>"000264"</f>
        <v>000264</v>
      </c>
      <c r="I16" s="6">
        <v>43220</v>
      </c>
      <c r="J16" s="7" t="str">
        <f>"000031"</f>
        <v>000031</v>
      </c>
      <c r="K16" s="6">
        <v>43620</v>
      </c>
      <c r="L16" s="7" t="str">
        <f>"000060"</f>
        <v>000060</v>
      </c>
      <c r="M16" s="6">
        <v>43635</v>
      </c>
      <c r="N16" s="7">
        <v>18</v>
      </c>
      <c r="O16" s="7" t="str">
        <f>"004157"</f>
        <v>004157</v>
      </c>
      <c r="P16" s="6">
        <v>43678</v>
      </c>
      <c r="Q16" s="11">
        <v>24.562390000000001</v>
      </c>
      <c r="R16" s="11">
        <v>2.6334</v>
      </c>
      <c r="S16" s="11">
        <v>21.928989999999999</v>
      </c>
      <c r="T16" s="7">
        <v>152</v>
      </c>
      <c r="U16" s="6">
        <v>43690</v>
      </c>
      <c r="V16" s="7">
        <v>9449863068</v>
      </c>
      <c r="W16" s="10" t="s">
        <v>52</v>
      </c>
      <c r="X16" s="7" t="s">
        <v>59</v>
      </c>
      <c r="Y16" s="10" t="s">
        <v>60</v>
      </c>
      <c r="Z16" s="7" t="s">
        <v>48</v>
      </c>
      <c r="AA16" s="10" t="s">
        <v>49</v>
      </c>
      <c r="AB16" s="11">
        <f t="shared" si="0"/>
        <v>0.24562390000000001</v>
      </c>
    </row>
    <row r="17" spans="1:28" x14ac:dyDescent="0.35">
      <c r="A17" s="4">
        <v>3257</v>
      </c>
      <c r="B17" s="5" t="s">
        <v>88</v>
      </c>
      <c r="C17" s="6">
        <v>43719</v>
      </c>
      <c r="D17" s="7">
        <v>97</v>
      </c>
      <c r="E17" s="8" t="s">
        <v>36</v>
      </c>
      <c r="F17" s="7" t="s">
        <v>89</v>
      </c>
      <c r="G17" s="10" t="s">
        <v>90</v>
      </c>
      <c r="H17" s="7" t="str">
        <f>"000260"</f>
        <v>000260</v>
      </c>
      <c r="I17" s="6">
        <v>43216</v>
      </c>
      <c r="J17" s="7" t="str">
        <f>"000019"</f>
        <v>000019</v>
      </c>
      <c r="K17" s="6">
        <v>43613</v>
      </c>
      <c r="L17" s="7" t="str">
        <f>"000046"</f>
        <v>000046</v>
      </c>
      <c r="M17" s="6">
        <v>43623</v>
      </c>
      <c r="N17" s="7">
        <v>18</v>
      </c>
      <c r="O17" s="7" t="str">
        <f>"004564"</f>
        <v>004564</v>
      </c>
      <c r="P17" s="6">
        <v>43694</v>
      </c>
      <c r="Q17" s="11">
        <v>29.899039999999999</v>
      </c>
      <c r="R17" s="11">
        <v>3.2895699999999999</v>
      </c>
      <c r="S17" s="11">
        <v>26.609470000000002</v>
      </c>
      <c r="T17" s="7">
        <v>181</v>
      </c>
      <c r="U17" s="6">
        <v>43719</v>
      </c>
      <c r="V17" s="7">
        <v>9449863068</v>
      </c>
      <c r="W17" s="10" t="s">
        <v>52</v>
      </c>
      <c r="X17" s="7" t="s">
        <v>59</v>
      </c>
      <c r="Y17" s="10" t="s">
        <v>60</v>
      </c>
      <c r="Z17" s="7" t="s">
        <v>48</v>
      </c>
      <c r="AA17" s="10" t="s">
        <v>49</v>
      </c>
      <c r="AB17" s="11">
        <f t="shared" si="0"/>
        <v>0.29899039999999999</v>
      </c>
    </row>
    <row r="18" spans="1:28" x14ac:dyDescent="0.35">
      <c r="A18" s="4">
        <v>3258</v>
      </c>
      <c r="B18" s="5" t="s">
        <v>88</v>
      </c>
      <c r="C18" s="6">
        <v>43729</v>
      </c>
      <c r="D18" s="7">
        <v>97</v>
      </c>
      <c r="E18" s="8" t="s">
        <v>36</v>
      </c>
      <c r="F18" s="7" t="s">
        <v>91</v>
      </c>
      <c r="G18" s="10" t="s">
        <v>92</v>
      </c>
      <c r="H18" s="7" t="str">
        <f>"000111"</f>
        <v>000111</v>
      </c>
      <c r="I18" s="6">
        <v>43132</v>
      </c>
      <c r="J18" s="7" t="str">
        <f>"000008"</f>
        <v>000008</v>
      </c>
      <c r="K18" s="6">
        <v>43197</v>
      </c>
      <c r="L18" s="7" t="str">
        <f>"000010"</f>
        <v>000010</v>
      </c>
      <c r="M18" s="6">
        <v>43197</v>
      </c>
      <c r="N18" s="7">
        <v>17</v>
      </c>
      <c r="O18" s="7" t="str">
        <f>"005023"</f>
        <v>005023</v>
      </c>
      <c r="P18" s="6">
        <v>43719</v>
      </c>
      <c r="Q18" s="11">
        <v>1.5986400000000001</v>
      </c>
      <c r="R18" s="11">
        <v>0.16147</v>
      </c>
      <c r="S18" s="11">
        <v>1.4371700000000001</v>
      </c>
      <c r="T18" s="7">
        <v>194</v>
      </c>
      <c r="U18" s="6">
        <v>43729</v>
      </c>
      <c r="V18" s="7">
        <v>9964168613</v>
      </c>
      <c r="W18" s="10" t="s">
        <v>93</v>
      </c>
      <c r="X18" s="7" t="s">
        <v>94</v>
      </c>
      <c r="Y18" s="10" t="s">
        <v>95</v>
      </c>
      <c r="Z18" s="7" t="s">
        <v>34</v>
      </c>
      <c r="AA18" s="10" t="s">
        <v>35</v>
      </c>
      <c r="AB18" s="11">
        <f t="shared" si="0"/>
        <v>1.5986400000000001E-2</v>
      </c>
    </row>
    <row r="19" spans="1:28" x14ac:dyDescent="0.35">
      <c r="A19" s="4">
        <v>3259</v>
      </c>
      <c r="B19" s="5" t="s">
        <v>88</v>
      </c>
      <c r="C19" s="6">
        <v>43732</v>
      </c>
      <c r="D19" s="7">
        <v>97</v>
      </c>
      <c r="E19" s="8" t="s">
        <v>36</v>
      </c>
      <c r="F19" s="7" t="s">
        <v>42</v>
      </c>
      <c r="G19" s="10" t="s">
        <v>43</v>
      </c>
      <c r="H19" s="7" t="str">
        <f>"000006"</f>
        <v>000006</v>
      </c>
      <c r="I19" s="6">
        <v>42931</v>
      </c>
      <c r="J19" s="7" t="str">
        <f>"000049"</f>
        <v>000049</v>
      </c>
      <c r="K19" s="6">
        <v>43717</v>
      </c>
      <c r="L19" s="7" t="str">
        <f>"000049"</f>
        <v>000049</v>
      </c>
      <c r="M19" s="6">
        <v>43717</v>
      </c>
      <c r="N19" s="7">
        <v>16</v>
      </c>
      <c r="O19" s="7" t="str">
        <f>"005415"</f>
        <v>005415</v>
      </c>
      <c r="P19" s="6">
        <v>43732</v>
      </c>
      <c r="Q19" s="11">
        <v>4.9715800000000003</v>
      </c>
      <c r="R19" s="11">
        <v>0.49147999999999997</v>
      </c>
      <c r="S19" s="11">
        <v>4.4801000000000002</v>
      </c>
      <c r="T19" s="7">
        <v>200</v>
      </c>
      <c r="U19" s="6">
        <v>43732</v>
      </c>
      <c r="V19" s="7">
        <v>9448069096</v>
      </c>
      <c r="W19" s="10" t="s">
        <v>44</v>
      </c>
      <c r="X19" s="7" t="s">
        <v>33</v>
      </c>
      <c r="Y19" s="10" t="s">
        <v>32</v>
      </c>
      <c r="Z19" s="7" t="s">
        <v>34</v>
      </c>
      <c r="AA19" s="10" t="s">
        <v>35</v>
      </c>
      <c r="AB19" s="11">
        <f t="shared" si="0"/>
        <v>4.9715800000000004E-2</v>
      </c>
    </row>
    <row r="20" spans="1:28" x14ac:dyDescent="0.35">
      <c r="A20" s="4">
        <v>3260</v>
      </c>
      <c r="B20" s="5" t="s">
        <v>88</v>
      </c>
      <c r="C20" s="6">
        <v>43733</v>
      </c>
      <c r="D20" s="7">
        <v>97</v>
      </c>
      <c r="E20" s="8" t="s">
        <v>36</v>
      </c>
      <c r="F20" s="7" t="s">
        <v>96</v>
      </c>
      <c r="G20" s="10" t="s">
        <v>97</v>
      </c>
      <c r="H20" s="7" t="str">
        <f>"000263"</f>
        <v>000263</v>
      </c>
      <c r="I20" s="6">
        <v>43216</v>
      </c>
      <c r="J20" s="7" t="str">
        <f>"000067"</f>
        <v>000067</v>
      </c>
      <c r="K20" s="6">
        <v>43677</v>
      </c>
      <c r="L20" s="7" t="str">
        <f>"000114"</f>
        <v>000114</v>
      </c>
      <c r="M20" s="6">
        <v>43677</v>
      </c>
      <c r="N20" s="7">
        <v>18</v>
      </c>
      <c r="O20" s="7" t="str">
        <f>"004744"</f>
        <v>004744</v>
      </c>
      <c r="P20" s="6">
        <v>43700</v>
      </c>
      <c r="Q20" s="11">
        <v>19.941030000000001</v>
      </c>
      <c r="R20" s="11">
        <v>2.1026600000000002</v>
      </c>
      <c r="S20" s="11">
        <v>17.838370000000001</v>
      </c>
      <c r="T20" s="7">
        <v>201</v>
      </c>
      <c r="U20" s="6">
        <v>43733</v>
      </c>
      <c r="V20" s="7">
        <v>9449863068</v>
      </c>
      <c r="W20" s="10" t="s">
        <v>52</v>
      </c>
      <c r="X20" s="7" t="s">
        <v>59</v>
      </c>
      <c r="Y20" s="10" t="s">
        <v>60</v>
      </c>
      <c r="Z20" s="7" t="s">
        <v>48</v>
      </c>
      <c r="AA20" s="10" t="s">
        <v>49</v>
      </c>
      <c r="AB20" s="11">
        <f t="shared" si="0"/>
        <v>0.19941030000000001</v>
      </c>
    </row>
    <row r="21" spans="1:28" x14ac:dyDescent="0.35">
      <c r="A21" s="4">
        <v>3261</v>
      </c>
      <c r="B21" s="5" t="s">
        <v>88</v>
      </c>
      <c r="C21" s="6">
        <v>43733</v>
      </c>
      <c r="D21" s="7">
        <v>97</v>
      </c>
      <c r="E21" s="8" t="s">
        <v>36</v>
      </c>
      <c r="F21" s="7" t="s">
        <v>98</v>
      </c>
      <c r="G21" s="10" t="s">
        <v>99</v>
      </c>
      <c r="H21" s="7" t="str">
        <f>"000088"</f>
        <v>000088</v>
      </c>
      <c r="I21" s="6">
        <v>43671</v>
      </c>
      <c r="J21" s="7" t="str">
        <f>"000065"</f>
        <v>000065</v>
      </c>
      <c r="K21" s="6">
        <v>43671</v>
      </c>
      <c r="L21" s="7" t="str">
        <f>"000115"</f>
        <v>000115</v>
      </c>
      <c r="M21" s="6">
        <v>43677</v>
      </c>
      <c r="N21" s="7">
        <v>18</v>
      </c>
      <c r="O21" s="7" t="str">
        <f>"004745"</f>
        <v>004745</v>
      </c>
      <c r="P21" s="6">
        <v>43700</v>
      </c>
      <c r="Q21" s="11">
        <v>49.963149999999999</v>
      </c>
      <c r="R21" s="11">
        <v>5.44597</v>
      </c>
      <c r="S21" s="11">
        <v>44.517180000000003</v>
      </c>
      <c r="T21" s="7">
        <v>201</v>
      </c>
      <c r="U21" s="6">
        <v>43733</v>
      </c>
      <c r="V21" s="7">
        <v>9945867208</v>
      </c>
      <c r="W21" s="10" t="s">
        <v>58</v>
      </c>
      <c r="X21" s="7" t="s">
        <v>59</v>
      </c>
      <c r="Y21" s="10" t="s">
        <v>60</v>
      </c>
      <c r="Z21" s="7" t="s">
        <v>48</v>
      </c>
      <c r="AA21" s="10" t="s">
        <v>49</v>
      </c>
      <c r="AB21" s="11">
        <f t="shared" si="0"/>
        <v>0.49963150000000001</v>
      </c>
    </row>
    <row r="22" spans="1:28" x14ac:dyDescent="0.35">
      <c r="A22" s="4">
        <v>3262</v>
      </c>
      <c r="B22" s="5" t="s">
        <v>100</v>
      </c>
      <c r="C22" s="6">
        <v>43773</v>
      </c>
      <c r="D22" s="4">
        <v>97</v>
      </c>
      <c r="E22" s="8" t="s">
        <v>36</v>
      </c>
      <c r="F22" s="7" t="s">
        <v>101</v>
      </c>
      <c r="G22" s="8" t="s">
        <v>102</v>
      </c>
      <c r="H22" s="7" t="str">
        <f>"000199"</f>
        <v>000199</v>
      </c>
      <c r="I22" s="6">
        <v>43136</v>
      </c>
      <c r="J22" s="7" t="str">
        <f>"000120"</f>
        <v>000120</v>
      </c>
      <c r="K22" s="6">
        <v>43190</v>
      </c>
      <c r="L22" s="7" t="str">
        <f>"000018"</f>
        <v>000018</v>
      </c>
      <c r="M22" s="6">
        <v>43225</v>
      </c>
      <c r="N22" s="7">
        <v>17</v>
      </c>
      <c r="O22" s="7" t="str">
        <f>"005908"</f>
        <v>005908</v>
      </c>
      <c r="P22" s="6">
        <v>43763</v>
      </c>
      <c r="Q22" s="9">
        <v>39.85839</v>
      </c>
      <c r="R22" s="9">
        <v>4.3448599999999997</v>
      </c>
      <c r="S22" s="9">
        <v>35.513530000000003</v>
      </c>
      <c r="T22" s="7">
        <v>13</v>
      </c>
      <c r="U22" s="6">
        <v>43773</v>
      </c>
      <c r="V22" s="7">
        <v>9731169150</v>
      </c>
      <c r="W22" s="8" t="s">
        <v>52</v>
      </c>
      <c r="X22" s="7" t="s">
        <v>103</v>
      </c>
      <c r="Y22" s="8" t="s">
        <v>104</v>
      </c>
      <c r="Z22" s="7" t="s">
        <v>48</v>
      </c>
      <c r="AA22" s="8" t="s">
        <v>49</v>
      </c>
      <c r="AB22" s="9">
        <v>0.39858389999999999</v>
      </c>
    </row>
    <row r="23" spans="1:28" x14ac:dyDescent="0.35">
      <c r="A23" s="4">
        <v>3263</v>
      </c>
      <c r="B23" s="5" t="s">
        <v>100</v>
      </c>
      <c r="C23" s="6">
        <v>43773</v>
      </c>
      <c r="D23" s="4">
        <v>97</v>
      </c>
      <c r="E23" s="8" t="s">
        <v>36</v>
      </c>
      <c r="F23" s="7" t="s">
        <v>105</v>
      </c>
      <c r="G23" s="8" t="s">
        <v>106</v>
      </c>
      <c r="H23" s="7" t="str">
        <f>"000200"</f>
        <v>000200</v>
      </c>
      <c r="I23" s="6">
        <v>43136</v>
      </c>
      <c r="J23" s="7" t="str">
        <f>"000121"</f>
        <v>000121</v>
      </c>
      <c r="K23" s="6">
        <v>43190</v>
      </c>
      <c r="L23" s="7" t="str">
        <f>"000019"</f>
        <v>000019</v>
      </c>
      <c r="M23" s="6">
        <v>43225</v>
      </c>
      <c r="N23" s="7">
        <v>17</v>
      </c>
      <c r="O23" s="7" t="str">
        <f>"005909"</f>
        <v>005909</v>
      </c>
      <c r="P23" s="6">
        <v>43763</v>
      </c>
      <c r="Q23" s="9">
        <v>39.892910000000001</v>
      </c>
      <c r="R23" s="9">
        <v>4.3483000000000001</v>
      </c>
      <c r="S23" s="9">
        <v>35.544609999999999</v>
      </c>
      <c r="T23" s="7">
        <v>13</v>
      </c>
      <c r="U23" s="6">
        <v>43773</v>
      </c>
      <c r="V23" s="7">
        <v>9731169150</v>
      </c>
      <c r="W23" s="8" t="s">
        <v>52</v>
      </c>
      <c r="X23" s="7" t="s">
        <v>103</v>
      </c>
      <c r="Y23" s="8" t="s">
        <v>104</v>
      </c>
      <c r="Z23" s="7" t="s">
        <v>48</v>
      </c>
      <c r="AA23" s="8" t="s">
        <v>49</v>
      </c>
      <c r="AB23" s="9">
        <v>0.39892909999999998</v>
      </c>
    </row>
    <row r="24" spans="1:28" x14ac:dyDescent="0.35">
      <c r="A24" s="4">
        <v>3264</v>
      </c>
      <c r="B24" s="5" t="s">
        <v>100</v>
      </c>
      <c r="C24" s="6">
        <v>43773</v>
      </c>
      <c r="D24" s="4">
        <v>97</v>
      </c>
      <c r="E24" s="8" t="s">
        <v>36</v>
      </c>
      <c r="F24" s="7" t="s">
        <v>107</v>
      </c>
      <c r="G24" s="8" t="s">
        <v>108</v>
      </c>
      <c r="H24" s="7" t="str">
        <f>"000203"</f>
        <v>000203</v>
      </c>
      <c r="I24" s="6">
        <v>43136</v>
      </c>
      <c r="J24" s="7" t="str">
        <f>"000122"</f>
        <v>000122</v>
      </c>
      <c r="K24" s="6">
        <v>43190</v>
      </c>
      <c r="L24" s="7" t="str">
        <f>"000020"</f>
        <v>000020</v>
      </c>
      <c r="M24" s="6">
        <v>43225</v>
      </c>
      <c r="N24" s="7">
        <v>17</v>
      </c>
      <c r="O24" s="7" t="str">
        <f>"005910"</f>
        <v>005910</v>
      </c>
      <c r="P24" s="6">
        <v>43763</v>
      </c>
      <c r="Q24" s="9">
        <v>29.724</v>
      </c>
      <c r="R24" s="9">
        <v>3.2399300000000002</v>
      </c>
      <c r="S24" s="9">
        <v>26.484069999999999</v>
      </c>
      <c r="T24" s="7">
        <v>13</v>
      </c>
      <c r="U24" s="6">
        <v>43773</v>
      </c>
      <c r="V24" s="7">
        <v>9731169150</v>
      </c>
      <c r="W24" s="8" t="s">
        <v>52</v>
      </c>
      <c r="X24" s="7" t="s">
        <v>103</v>
      </c>
      <c r="Y24" s="8" t="s">
        <v>104</v>
      </c>
      <c r="Z24" s="7" t="s">
        <v>48</v>
      </c>
      <c r="AA24" s="8" t="s">
        <v>49</v>
      </c>
      <c r="AB24" s="9">
        <v>0.29724</v>
      </c>
    </row>
    <row r="25" spans="1:28" x14ac:dyDescent="0.35">
      <c r="A25" s="4">
        <v>3265</v>
      </c>
      <c r="B25" s="5" t="s">
        <v>109</v>
      </c>
      <c r="C25" s="6">
        <v>43805</v>
      </c>
      <c r="D25" s="4">
        <v>97</v>
      </c>
      <c r="E25" s="8" t="s">
        <v>36</v>
      </c>
      <c r="F25" s="7" t="s">
        <v>110</v>
      </c>
      <c r="G25" s="8" t="s">
        <v>111</v>
      </c>
      <c r="H25" s="7" t="str">
        <f>"000117"</f>
        <v>000117</v>
      </c>
      <c r="I25" s="6">
        <v>43719</v>
      </c>
      <c r="J25" s="7" t="str">
        <f>"000076"</f>
        <v>000076</v>
      </c>
      <c r="K25" s="6">
        <v>43739</v>
      </c>
      <c r="L25" s="7" t="str">
        <f>"000166"</f>
        <v>000166</v>
      </c>
      <c r="M25" s="6">
        <v>43741</v>
      </c>
      <c r="N25" s="7">
        <v>14</v>
      </c>
      <c r="O25" s="7" t="str">
        <f>"006645"</f>
        <v>006645</v>
      </c>
      <c r="P25" s="6">
        <v>43803</v>
      </c>
      <c r="Q25" s="9">
        <v>10.691800000000001</v>
      </c>
      <c r="R25" s="9">
        <v>1.5575600000000001</v>
      </c>
      <c r="S25" s="9">
        <v>9.1342400000000001</v>
      </c>
      <c r="T25" s="7">
        <v>13</v>
      </c>
      <c r="U25" s="6">
        <v>43805</v>
      </c>
      <c r="V25" s="7">
        <v>9945867208</v>
      </c>
      <c r="W25" s="8" t="s">
        <v>58</v>
      </c>
      <c r="X25" s="7" t="s">
        <v>59</v>
      </c>
      <c r="Y25" s="8" t="s">
        <v>60</v>
      </c>
      <c r="Z25" s="7" t="s">
        <v>48</v>
      </c>
      <c r="AA25" s="8" t="s">
        <v>49</v>
      </c>
      <c r="AB25" s="9">
        <v>0.10691800000000001</v>
      </c>
    </row>
    <row r="26" spans="1:28" x14ac:dyDescent="0.35">
      <c r="A26" s="4">
        <v>3266</v>
      </c>
      <c r="B26" s="5" t="s">
        <v>109</v>
      </c>
      <c r="C26" s="6">
        <v>43805</v>
      </c>
      <c r="D26" s="4">
        <v>97</v>
      </c>
      <c r="E26" s="8" t="s">
        <v>36</v>
      </c>
      <c r="F26" s="7" t="s">
        <v>112</v>
      </c>
      <c r="G26" s="8" t="s">
        <v>113</v>
      </c>
      <c r="H26" s="7" t="str">
        <f>"000116"</f>
        <v>000116</v>
      </c>
      <c r="I26" s="6">
        <v>43719</v>
      </c>
      <c r="J26" s="7" t="str">
        <f>"000074"</f>
        <v>000074</v>
      </c>
      <c r="K26" s="6">
        <v>43731</v>
      </c>
      <c r="L26" s="7" t="str">
        <f>"000164"</f>
        <v>000164</v>
      </c>
      <c r="M26" s="6">
        <v>43741</v>
      </c>
      <c r="N26" s="7">
        <v>14</v>
      </c>
      <c r="O26" s="7" t="str">
        <f>"006646"</f>
        <v>006646</v>
      </c>
      <c r="P26" s="6">
        <v>43803</v>
      </c>
      <c r="Q26" s="9">
        <v>12.29936</v>
      </c>
      <c r="R26" s="9">
        <v>1.7842</v>
      </c>
      <c r="S26" s="9">
        <v>10.51516</v>
      </c>
      <c r="T26" s="7">
        <v>13</v>
      </c>
      <c r="U26" s="6">
        <v>43805</v>
      </c>
      <c r="V26" s="7">
        <v>9945867208</v>
      </c>
      <c r="W26" s="8" t="s">
        <v>58</v>
      </c>
      <c r="X26" s="7" t="s">
        <v>59</v>
      </c>
      <c r="Y26" s="8" t="s">
        <v>60</v>
      </c>
      <c r="Z26" s="7" t="s">
        <v>48</v>
      </c>
      <c r="AA26" s="8" t="s">
        <v>49</v>
      </c>
      <c r="AB26" s="9">
        <v>0.12299359999999999</v>
      </c>
    </row>
    <row r="27" spans="1:28" x14ac:dyDescent="0.35">
      <c r="A27" s="4">
        <v>3267</v>
      </c>
      <c r="B27" s="5" t="s">
        <v>109</v>
      </c>
      <c r="C27" s="6">
        <v>43808</v>
      </c>
      <c r="D27" s="4">
        <v>97</v>
      </c>
      <c r="E27" s="8" t="s">
        <v>36</v>
      </c>
      <c r="F27" s="7" t="s">
        <v>114</v>
      </c>
      <c r="G27" s="8" t="s">
        <v>115</v>
      </c>
      <c r="H27" s="7" t="str">
        <f>"000166"</f>
        <v>000166</v>
      </c>
      <c r="I27" s="6">
        <v>43061</v>
      </c>
      <c r="J27" s="7" t="str">
        <f>"000066"</f>
        <v>000066</v>
      </c>
      <c r="K27" s="6">
        <v>43458</v>
      </c>
      <c r="L27" s="7" t="str">
        <f>"000154"</f>
        <v>000154</v>
      </c>
      <c r="M27" s="6">
        <v>43493</v>
      </c>
      <c r="N27" s="7">
        <v>17</v>
      </c>
      <c r="O27" s="7" t="str">
        <f>"006680"</f>
        <v>006680</v>
      </c>
      <c r="P27" s="6">
        <v>43805</v>
      </c>
      <c r="Q27" s="9">
        <v>15.648960000000001</v>
      </c>
      <c r="R27" s="9">
        <v>1.84327</v>
      </c>
      <c r="S27" s="9">
        <v>13.80569</v>
      </c>
      <c r="T27" s="7">
        <v>13</v>
      </c>
      <c r="U27" s="6">
        <v>43808</v>
      </c>
      <c r="V27" s="7">
        <v>9731169150</v>
      </c>
      <c r="W27" s="8" t="s">
        <v>116</v>
      </c>
      <c r="X27" s="7" t="s">
        <v>29</v>
      </c>
      <c r="Y27" s="8" t="s">
        <v>30</v>
      </c>
      <c r="Z27" s="7" t="s">
        <v>48</v>
      </c>
      <c r="AA27" s="8" t="s">
        <v>49</v>
      </c>
      <c r="AB27" s="9">
        <v>0.15648960000000001</v>
      </c>
    </row>
    <row r="28" spans="1:28" x14ac:dyDescent="0.35">
      <c r="A28" s="4">
        <v>3268</v>
      </c>
      <c r="B28" s="5" t="s">
        <v>109</v>
      </c>
      <c r="C28" s="6">
        <v>43808</v>
      </c>
      <c r="D28" s="4">
        <v>97</v>
      </c>
      <c r="E28" s="8" t="s">
        <v>36</v>
      </c>
      <c r="F28" s="7" t="s">
        <v>117</v>
      </c>
      <c r="G28" s="8" t="s">
        <v>118</v>
      </c>
      <c r="H28" s="7" t="str">
        <f>"000164"</f>
        <v>000164</v>
      </c>
      <c r="I28" s="6">
        <v>43061</v>
      </c>
      <c r="J28" s="7" t="str">
        <f>"000062"</f>
        <v>000062</v>
      </c>
      <c r="K28" s="6">
        <v>43458</v>
      </c>
      <c r="L28" s="7" t="str">
        <f>"000156"</f>
        <v>000156</v>
      </c>
      <c r="M28" s="6">
        <v>43494</v>
      </c>
      <c r="N28" s="7">
        <v>17</v>
      </c>
      <c r="O28" s="7" t="str">
        <f>"006681"</f>
        <v>006681</v>
      </c>
      <c r="P28" s="6">
        <v>43805</v>
      </c>
      <c r="Q28" s="9">
        <v>15.54073</v>
      </c>
      <c r="R28" s="9">
        <v>1.83064</v>
      </c>
      <c r="S28" s="9">
        <v>13.710089999999999</v>
      </c>
      <c r="T28" s="7">
        <v>13</v>
      </c>
      <c r="U28" s="6">
        <v>43808</v>
      </c>
      <c r="V28" s="7">
        <v>9731169150</v>
      </c>
      <c r="W28" s="8" t="s">
        <v>116</v>
      </c>
      <c r="X28" s="7" t="s">
        <v>29</v>
      </c>
      <c r="Y28" s="8" t="s">
        <v>30</v>
      </c>
      <c r="Z28" s="7" t="s">
        <v>48</v>
      </c>
      <c r="AA28" s="8" t="s">
        <v>49</v>
      </c>
      <c r="AB28" s="9">
        <v>0.1554073</v>
      </c>
    </row>
    <row r="29" spans="1:28" x14ac:dyDescent="0.35">
      <c r="A29" s="4">
        <v>3269</v>
      </c>
      <c r="B29" s="5" t="s">
        <v>109</v>
      </c>
      <c r="C29" s="6">
        <v>43808</v>
      </c>
      <c r="D29" s="4">
        <v>97</v>
      </c>
      <c r="E29" s="8" t="s">
        <v>36</v>
      </c>
      <c r="F29" s="7" t="s">
        <v>119</v>
      </c>
      <c r="G29" s="8" t="s">
        <v>120</v>
      </c>
      <c r="H29" s="7" t="str">
        <f>"000165"</f>
        <v>000165</v>
      </c>
      <c r="I29" s="6">
        <v>43061</v>
      </c>
      <c r="J29" s="7" t="str">
        <f>"000063"</f>
        <v>000063</v>
      </c>
      <c r="K29" s="6">
        <v>43458</v>
      </c>
      <c r="L29" s="7" t="str">
        <f>"000157"</f>
        <v>000157</v>
      </c>
      <c r="M29" s="6">
        <v>43494</v>
      </c>
      <c r="N29" s="7">
        <v>17</v>
      </c>
      <c r="O29" s="7" t="str">
        <f>"006682"</f>
        <v>006682</v>
      </c>
      <c r="P29" s="6">
        <v>43805</v>
      </c>
      <c r="Q29" s="9">
        <v>15.5008</v>
      </c>
      <c r="R29" s="9">
        <v>1.8259700000000001</v>
      </c>
      <c r="S29" s="9">
        <v>13.67483</v>
      </c>
      <c r="T29" s="7">
        <v>13</v>
      </c>
      <c r="U29" s="6">
        <v>43808</v>
      </c>
      <c r="V29" s="7">
        <v>9731169150</v>
      </c>
      <c r="W29" s="8" t="s">
        <v>116</v>
      </c>
      <c r="X29" s="7" t="s">
        <v>29</v>
      </c>
      <c r="Y29" s="8" t="s">
        <v>30</v>
      </c>
      <c r="Z29" s="7" t="s">
        <v>48</v>
      </c>
      <c r="AA29" s="8" t="s">
        <v>49</v>
      </c>
      <c r="AB29" s="9">
        <v>0.15500800000000001</v>
      </c>
    </row>
    <row r="30" spans="1:28" x14ac:dyDescent="0.35">
      <c r="A30" s="4">
        <v>3270</v>
      </c>
      <c r="B30" s="5" t="s">
        <v>109</v>
      </c>
      <c r="C30" s="6">
        <v>43808</v>
      </c>
      <c r="D30" s="4">
        <v>97</v>
      </c>
      <c r="E30" s="8" t="s">
        <v>36</v>
      </c>
      <c r="F30" s="7" t="s">
        <v>121</v>
      </c>
      <c r="G30" s="8" t="s">
        <v>122</v>
      </c>
      <c r="H30" s="7" t="str">
        <f>"000167"</f>
        <v>000167</v>
      </c>
      <c r="I30" s="6">
        <v>43061</v>
      </c>
      <c r="J30" s="7" t="str">
        <f>"000064"</f>
        <v>000064</v>
      </c>
      <c r="K30" s="6">
        <v>43458</v>
      </c>
      <c r="L30" s="7" t="str">
        <f>"000158"</f>
        <v>000158</v>
      </c>
      <c r="M30" s="6">
        <v>43494</v>
      </c>
      <c r="N30" s="7">
        <v>17</v>
      </c>
      <c r="O30" s="7" t="str">
        <f>"006683"</f>
        <v>006683</v>
      </c>
      <c r="P30" s="6">
        <v>43805</v>
      </c>
      <c r="Q30" s="9">
        <v>15.54073</v>
      </c>
      <c r="R30" s="9">
        <v>1.83064</v>
      </c>
      <c r="S30" s="9">
        <v>13.710089999999999</v>
      </c>
      <c r="T30" s="7">
        <v>13</v>
      </c>
      <c r="U30" s="6">
        <v>43808</v>
      </c>
      <c r="V30" s="7">
        <v>9731169150</v>
      </c>
      <c r="W30" s="8" t="s">
        <v>116</v>
      </c>
      <c r="X30" s="7" t="s">
        <v>29</v>
      </c>
      <c r="Y30" s="8" t="s">
        <v>30</v>
      </c>
      <c r="Z30" s="7" t="s">
        <v>48</v>
      </c>
      <c r="AA30" s="8" t="s">
        <v>49</v>
      </c>
      <c r="AB30" s="9">
        <v>0.1554073</v>
      </c>
    </row>
    <row r="31" spans="1:28" x14ac:dyDescent="0.35">
      <c r="A31" s="4">
        <v>3271</v>
      </c>
      <c r="B31" s="5" t="s">
        <v>109</v>
      </c>
      <c r="C31" s="6">
        <v>43808</v>
      </c>
      <c r="D31" s="4">
        <v>97</v>
      </c>
      <c r="E31" s="8" t="s">
        <v>36</v>
      </c>
      <c r="F31" s="7" t="s">
        <v>123</v>
      </c>
      <c r="G31" s="8" t="s">
        <v>124</v>
      </c>
      <c r="H31" s="7" t="str">
        <f>"000168"</f>
        <v>000168</v>
      </c>
      <c r="I31" s="6">
        <v>43061</v>
      </c>
      <c r="J31" s="7" t="str">
        <f>"000065"</f>
        <v>000065</v>
      </c>
      <c r="K31" s="6">
        <v>43458</v>
      </c>
      <c r="L31" s="7" t="str">
        <f>"000159"</f>
        <v>000159</v>
      </c>
      <c r="M31" s="6">
        <v>43494</v>
      </c>
      <c r="N31" s="7">
        <v>17</v>
      </c>
      <c r="O31" s="7" t="str">
        <f>"006684"</f>
        <v>006684</v>
      </c>
      <c r="P31" s="6">
        <v>43805</v>
      </c>
      <c r="Q31" s="9">
        <v>15.550050000000001</v>
      </c>
      <c r="R31" s="9">
        <v>1.83175</v>
      </c>
      <c r="S31" s="9">
        <v>13.718299999999999</v>
      </c>
      <c r="T31" s="7">
        <v>13</v>
      </c>
      <c r="U31" s="6">
        <v>43808</v>
      </c>
      <c r="V31" s="7">
        <v>9731169150</v>
      </c>
      <c r="W31" s="8" t="s">
        <v>116</v>
      </c>
      <c r="X31" s="7" t="s">
        <v>29</v>
      </c>
      <c r="Y31" s="8" t="s">
        <v>30</v>
      </c>
      <c r="Z31" s="7" t="s">
        <v>48</v>
      </c>
      <c r="AA31" s="8" t="s">
        <v>49</v>
      </c>
      <c r="AB31" s="9">
        <v>0.15550050000000001</v>
      </c>
    </row>
    <row r="32" spans="1:28" x14ac:dyDescent="0.35">
      <c r="A32" s="4">
        <v>3272</v>
      </c>
      <c r="B32" s="5" t="s">
        <v>109</v>
      </c>
      <c r="C32" s="6">
        <v>43808</v>
      </c>
      <c r="D32" s="4">
        <v>97</v>
      </c>
      <c r="E32" s="8" t="s">
        <v>36</v>
      </c>
      <c r="F32" s="7" t="s">
        <v>125</v>
      </c>
      <c r="G32" s="8" t="s">
        <v>126</v>
      </c>
      <c r="H32" s="7" t="str">
        <f>"000015"</f>
        <v>000015</v>
      </c>
      <c r="I32" s="6">
        <v>43558</v>
      </c>
      <c r="J32" s="7" t="str">
        <f>"000069"</f>
        <v>000069</v>
      </c>
      <c r="K32" s="6">
        <v>43691</v>
      </c>
      <c r="L32" s="7" t="str">
        <f>"000136"</f>
        <v>000136</v>
      </c>
      <c r="M32" s="6">
        <v>43700</v>
      </c>
      <c r="N32" s="7">
        <v>18</v>
      </c>
      <c r="O32" s="7" t="str">
        <f>"006699"</f>
        <v>006699</v>
      </c>
      <c r="P32" s="6">
        <v>43805</v>
      </c>
      <c r="Q32" s="9">
        <v>55.300989999999999</v>
      </c>
      <c r="R32" s="9">
        <v>5.9692699999999999</v>
      </c>
      <c r="S32" s="9">
        <v>49.331719999999997</v>
      </c>
      <c r="T32" s="7">
        <v>13</v>
      </c>
      <c r="U32" s="6">
        <v>43808</v>
      </c>
      <c r="V32" s="7">
        <v>9886066040</v>
      </c>
      <c r="W32" s="8" t="s">
        <v>127</v>
      </c>
      <c r="X32" s="7" t="s">
        <v>74</v>
      </c>
      <c r="Y32" s="8" t="s">
        <v>75</v>
      </c>
      <c r="Z32" s="7" t="s">
        <v>48</v>
      </c>
      <c r="AA32" s="8" t="s">
        <v>49</v>
      </c>
      <c r="AB32" s="9">
        <v>0.55300989999999994</v>
      </c>
    </row>
    <row r="33" spans="1:28" x14ac:dyDescent="0.35">
      <c r="A33" s="4">
        <v>3273</v>
      </c>
      <c r="B33" s="5" t="s">
        <v>109</v>
      </c>
      <c r="C33" s="6">
        <v>43808</v>
      </c>
      <c r="D33" s="4">
        <v>97</v>
      </c>
      <c r="E33" s="8" t="s">
        <v>36</v>
      </c>
      <c r="F33" s="7" t="s">
        <v>128</v>
      </c>
      <c r="G33" s="8" t="s">
        <v>129</v>
      </c>
      <c r="H33" s="7" t="str">
        <f>"000016"</f>
        <v>000016</v>
      </c>
      <c r="I33" s="6">
        <v>43558</v>
      </c>
      <c r="J33" s="7" t="str">
        <f>"000070"</f>
        <v>000070</v>
      </c>
      <c r="K33" s="6">
        <v>43694</v>
      </c>
      <c r="L33" s="7" t="str">
        <f>"000137"</f>
        <v>000137</v>
      </c>
      <c r="M33" s="6">
        <v>43700</v>
      </c>
      <c r="N33" s="7">
        <v>18</v>
      </c>
      <c r="O33" s="7" t="str">
        <f>"006700"</f>
        <v>006700</v>
      </c>
      <c r="P33" s="6">
        <v>43805</v>
      </c>
      <c r="Q33" s="9">
        <v>54.817999999999998</v>
      </c>
      <c r="R33" s="9">
        <v>5.9515700000000002</v>
      </c>
      <c r="S33" s="9">
        <v>48.866430000000001</v>
      </c>
      <c r="T33" s="7">
        <v>13</v>
      </c>
      <c r="U33" s="6">
        <v>43808</v>
      </c>
      <c r="V33" s="7">
        <v>9886066040</v>
      </c>
      <c r="W33" s="8" t="s">
        <v>127</v>
      </c>
      <c r="X33" s="7" t="s">
        <v>74</v>
      </c>
      <c r="Y33" s="8" t="s">
        <v>75</v>
      </c>
      <c r="Z33" s="7" t="s">
        <v>48</v>
      </c>
      <c r="AA33" s="8" t="s">
        <v>49</v>
      </c>
      <c r="AB33" s="9">
        <v>0.54818</v>
      </c>
    </row>
    <row r="34" spans="1:28" x14ac:dyDescent="0.35">
      <c r="A34" s="4">
        <v>3274</v>
      </c>
      <c r="B34" s="5" t="s">
        <v>109</v>
      </c>
      <c r="C34" s="6">
        <v>43808</v>
      </c>
      <c r="D34" s="4">
        <v>97</v>
      </c>
      <c r="E34" s="8" t="s">
        <v>36</v>
      </c>
      <c r="F34" s="7" t="s">
        <v>130</v>
      </c>
      <c r="G34" s="8" t="s">
        <v>131</v>
      </c>
      <c r="H34" s="7" t="str">
        <f>"000017"</f>
        <v>000017</v>
      </c>
      <c r="I34" s="6">
        <v>43558</v>
      </c>
      <c r="J34" s="7" t="str">
        <f>"000071"</f>
        <v>000071</v>
      </c>
      <c r="K34" s="6">
        <v>43694</v>
      </c>
      <c r="L34" s="7" t="str">
        <f>"000138"</f>
        <v>000138</v>
      </c>
      <c r="M34" s="6">
        <v>43700</v>
      </c>
      <c r="N34" s="7">
        <v>18</v>
      </c>
      <c r="O34" s="7" t="str">
        <f>"006701"</f>
        <v>006701</v>
      </c>
      <c r="P34" s="6">
        <v>43805</v>
      </c>
      <c r="Q34" s="9">
        <v>55.407290000000003</v>
      </c>
      <c r="R34" s="9">
        <v>5.9706999999999999</v>
      </c>
      <c r="S34" s="9">
        <v>49.436590000000002</v>
      </c>
      <c r="T34" s="7">
        <v>13</v>
      </c>
      <c r="U34" s="6">
        <v>43808</v>
      </c>
      <c r="V34" s="7">
        <v>9886066040</v>
      </c>
      <c r="W34" s="8" t="s">
        <v>127</v>
      </c>
      <c r="X34" s="7" t="s">
        <v>74</v>
      </c>
      <c r="Y34" s="8" t="s">
        <v>75</v>
      </c>
      <c r="Z34" s="7" t="s">
        <v>48</v>
      </c>
      <c r="AA34" s="8" t="s">
        <v>49</v>
      </c>
      <c r="AB34" s="9">
        <v>0.55407289999999998</v>
      </c>
    </row>
    <row r="35" spans="1:28" x14ac:dyDescent="0.35">
      <c r="A35" s="4">
        <v>3275</v>
      </c>
      <c r="B35" s="5" t="s">
        <v>109</v>
      </c>
      <c r="C35" s="6">
        <v>43808</v>
      </c>
      <c r="D35" s="4">
        <v>97</v>
      </c>
      <c r="E35" s="8" t="s">
        <v>36</v>
      </c>
      <c r="F35" s="7" t="s">
        <v>132</v>
      </c>
      <c r="G35" s="8" t="s">
        <v>133</v>
      </c>
      <c r="H35" s="7" t="str">
        <f>"000018"</f>
        <v>000018</v>
      </c>
      <c r="I35" s="6">
        <v>43558</v>
      </c>
      <c r="J35" s="7" t="str">
        <f>"000068"</f>
        <v>000068</v>
      </c>
      <c r="K35" s="6">
        <v>43691</v>
      </c>
      <c r="L35" s="7" t="str">
        <f>"000139"</f>
        <v>000139</v>
      </c>
      <c r="M35" s="6">
        <v>43700</v>
      </c>
      <c r="N35" s="7">
        <v>18</v>
      </c>
      <c r="O35" s="7" t="str">
        <f>"006702"</f>
        <v>006702</v>
      </c>
      <c r="P35" s="6">
        <v>43805</v>
      </c>
      <c r="Q35" s="9">
        <v>55.335299999999997</v>
      </c>
      <c r="R35" s="9">
        <v>5.9629500000000002</v>
      </c>
      <c r="S35" s="9">
        <v>49.372349999999997</v>
      </c>
      <c r="T35" s="7">
        <v>13</v>
      </c>
      <c r="U35" s="6">
        <v>43808</v>
      </c>
      <c r="V35" s="7">
        <v>9886066040</v>
      </c>
      <c r="W35" s="8" t="s">
        <v>127</v>
      </c>
      <c r="X35" s="7" t="s">
        <v>74</v>
      </c>
      <c r="Y35" s="8" t="s">
        <v>75</v>
      </c>
      <c r="Z35" s="7" t="s">
        <v>48</v>
      </c>
      <c r="AA35" s="8" t="s">
        <v>49</v>
      </c>
      <c r="AB35" s="9">
        <v>0.55335299999999998</v>
      </c>
    </row>
    <row r="36" spans="1:28" x14ac:dyDescent="0.35">
      <c r="A36" s="4">
        <v>3276</v>
      </c>
      <c r="B36" s="5" t="s">
        <v>109</v>
      </c>
      <c r="C36" s="6">
        <v>43816</v>
      </c>
      <c r="D36" s="4">
        <v>97</v>
      </c>
      <c r="E36" s="8" t="s">
        <v>36</v>
      </c>
      <c r="F36" s="7" t="s">
        <v>134</v>
      </c>
      <c r="G36" s="8" t="s">
        <v>135</v>
      </c>
      <c r="H36" s="7" t="str">
        <f>"000115"</f>
        <v>000115</v>
      </c>
      <c r="I36" s="6">
        <v>43719</v>
      </c>
      <c r="J36" s="7" t="str">
        <f>"000075"</f>
        <v>000075</v>
      </c>
      <c r="K36" s="6">
        <v>43735</v>
      </c>
      <c r="L36" s="7" t="str">
        <f>"000165"</f>
        <v>000165</v>
      </c>
      <c r="M36" s="6">
        <v>43741</v>
      </c>
      <c r="N36" s="7">
        <v>14</v>
      </c>
      <c r="O36" s="7" t="str">
        <f>"006729"</f>
        <v>006729</v>
      </c>
      <c r="P36" s="6">
        <v>43810</v>
      </c>
      <c r="Q36" s="9">
        <v>11.35805</v>
      </c>
      <c r="R36" s="9">
        <v>1.6324799999999999</v>
      </c>
      <c r="S36" s="9">
        <v>9.7255699999999994</v>
      </c>
      <c r="T36" s="7">
        <v>13</v>
      </c>
      <c r="U36" s="6">
        <v>43816</v>
      </c>
      <c r="V36" s="7">
        <v>9945867208</v>
      </c>
      <c r="W36" s="8" t="s">
        <v>58</v>
      </c>
      <c r="X36" s="7" t="s">
        <v>59</v>
      </c>
      <c r="Y36" s="8" t="s">
        <v>60</v>
      </c>
      <c r="Z36" s="7" t="s">
        <v>48</v>
      </c>
      <c r="AA36" s="8" t="s">
        <v>49</v>
      </c>
      <c r="AB36" s="9">
        <v>0.1135805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2020-01-28T12:06:13Z</dcterms:modified>
</cp:coreProperties>
</file>