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4" i="1" l="1"/>
  <c r="L74" i="1"/>
  <c r="J74" i="1"/>
  <c r="H74" i="1"/>
  <c r="O73" i="1"/>
  <c r="L73" i="1"/>
  <c r="J73" i="1"/>
  <c r="H73" i="1"/>
  <c r="O72" i="1"/>
  <c r="L72" i="1"/>
  <c r="J72" i="1"/>
  <c r="H72" i="1"/>
  <c r="O71" i="1"/>
  <c r="L71" i="1"/>
  <c r="J71" i="1"/>
  <c r="H71" i="1"/>
  <c r="O70" i="1"/>
  <c r="L70" i="1"/>
  <c r="J70" i="1"/>
  <c r="H70" i="1"/>
  <c r="O69" i="1"/>
  <c r="L69" i="1"/>
  <c r="J69" i="1"/>
  <c r="H69" i="1"/>
  <c r="O68" i="1"/>
  <c r="L68" i="1"/>
  <c r="J68" i="1"/>
  <c r="H68" i="1"/>
  <c r="O67" i="1"/>
  <c r="L67" i="1"/>
  <c r="J67" i="1"/>
  <c r="H67" i="1"/>
  <c r="O66" i="1"/>
  <c r="L66" i="1"/>
  <c r="J66" i="1"/>
  <c r="H66" i="1"/>
  <c r="O65" i="1"/>
  <c r="L65" i="1"/>
  <c r="J65" i="1"/>
  <c r="H65" i="1"/>
  <c r="O64" i="1"/>
  <c r="L64" i="1"/>
  <c r="J64" i="1"/>
  <c r="H64" i="1"/>
  <c r="O63" i="1"/>
  <c r="L63" i="1"/>
  <c r="J63" i="1"/>
  <c r="H63" i="1"/>
  <c r="O62" i="1"/>
  <c r="L62" i="1"/>
  <c r="J62" i="1"/>
  <c r="H62" i="1"/>
  <c r="O61" i="1"/>
  <c r="L61" i="1"/>
  <c r="J61" i="1"/>
  <c r="H61" i="1"/>
  <c r="O60" i="1"/>
  <c r="L60" i="1"/>
  <c r="J60" i="1"/>
  <c r="H60" i="1"/>
  <c r="O59" i="1"/>
  <c r="L59" i="1"/>
  <c r="J59" i="1"/>
  <c r="H59" i="1"/>
  <c r="AB58" i="1"/>
  <c r="O58" i="1"/>
  <c r="L58" i="1"/>
  <c r="J58" i="1"/>
  <c r="H58" i="1"/>
  <c r="AB57" i="1"/>
  <c r="O57" i="1"/>
  <c r="L57" i="1"/>
  <c r="J57" i="1"/>
  <c r="H57" i="1"/>
  <c r="AB56" i="1"/>
  <c r="O56" i="1"/>
  <c r="L56" i="1"/>
  <c r="J56" i="1"/>
  <c r="H56" i="1"/>
  <c r="AB55" i="1"/>
  <c r="O55" i="1"/>
  <c r="L55" i="1"/>
  <c r="J55" i="1"/>
  <c r="H55" i="1"/>
  <c r="AB54" i="1"/>
  <c r="O54" i="1"/>
  <c r="L54" i="1"/>
  <c r="J54" i="1"/>
  <c r="H54" i="1"/>
  <c r="AB53" i="1"/>
  <c r="O53" i="1"/>
  <c r="L53" i="1"/>
  <c r="J53" i="1"/>
  <c r="H53" i="1"/>
  <c r="AB52" i="1"/>
  <c r="O52" i="1"/>
  <c r="L52" i="1"/>
  <c r="J52" i="1"/>
  <c r="H52" i="1"/>
  <c r="AB51" i="1"/>
  <c r="O51" i="1"/>
  <c r="L51" i="1"/>
  <c r="J51" i="1"/>
  <c r="H51" i="1"/>
  <c r="AB50" i="1"/>
  <c r="O50" i="1"/>
  <c r="L50" i="1"/>
  <c r="J50" i="1"/>
  <c r="H50" i="1"/>
  <c r="AB49" i="1"/>
  <c r="O49" i="1"/>
  <c r="L49" i="1"/>
  <c r="J49" i="1"/>
  <c r="H49" i="1"/>
  <c r="AB48" i="1"/>
  <c r="O48" i="1"/>
  <c r="L48" i="1"/>
  <c r="J48" i="1"/>
  <c r="H48" i="1"/>
  <c r="AB47" i="1"/>
  <c r="O47" i="1"/>
  <c r="L47" i="1"/>
  <c r="J47" i="1"/>
  <c r="H47" i="1"/>
  <c r="AB46" i="1"/>
  <c r="O46" i="1"/>
  <c r="L46" i="1"/>
  <c r="J46" i="1"/>
  <c r="H46" i="1"/>
  <c r="AB45" i="1"/>
  <c r="O45" i="1"/>
  <c r="L45" i="1"/>
  <c r="J45" i="1"/>
  <c r="H45" i="1"/>
  <c r="AB44" i="1"/>
  <c r="O44" i="1"/>
  <c r="L44" i="1"/>
  <c r="J44" i="1"/>
  <c r="H44" i="1"/>
  <c r="AB43" i="1"/>
  <c r="O43" i="1"/>
  <c r="L43" i="1"/>
  <c r="J43" i="1"/>
  <c r="H43" i="1"/>
  <c r="AB42" i="1"/>
  <c r="O42" i="1"/>
  <c r="L42" i="1"/>
  <c r="J42" i="1"/>
  <c r="H42" i="1"/>
  <c r="AB41" i="1"/>
  <c r="O41" i="1"/>
  <c r="L41" i="1"/>
  <c r="J41" i="1"/>
  <c r="H41" i="1"/>
  <c r="AB40" i="1"/>
  <c r="O40" i="1"/>
  <c r="L40" i="1"/>
  <c r="J40" i="1"/>
  <c r="H40" i="1"/>
  <c r="AB39" i="1"/>
  <c r="O39" i="1"/>
  <c r="L39" i="1"/>
  <c r="J39" i="1"/>
  <c r="H39" i="1"/>
  <c r="AB38" i="1"/>
  <c r="O38" i="1"/>
  <c r="L38" i="1"/>
  <c r="J38" i="1"/>
  <c r="H38" i="1"/>
  <c r="AB37" i="1"/>
  <c r="O37" i="1"/>
  <c r="L37" i="1"/>
  <c r="J37" i="1"/>
  <c r="H37" i="1"/>
  <c r="AB36" i="1"/>
  <c r="O36" i="1"/>
  <c r="L36" i="1"/>
  <c r="J36" i="1"/>
  <c r="H36" i="1"/>
  <c r="AB35" i="1"/>
  <c r="O35" i="1"/>
  <c r="L35" i="1"/>
  <c r="J35" i="1"/>
  <c r="H35" i="1"/>
  <c r="AB34" i="1"/>
  <c r="O34" i="1"/>
  <c r="L34" i="1"/>
  <c r="J34" i="1"/>
  <c r="H34" i="1"/>
  <c r="AB33" i="1"/>
  <c r="O33" i="1"/>
  <c r="L33" i="1"/>
  <c r="J33" i="1"/>
  <c r="H33" i="1"/>
  <c r="O32" i="1"/>
  <c r="L32" i="1"/>
  <c r="J32" i="1"/>
  <c r="H32" i="1"/>
  <c r="O31" i="1"/>
  <c r="L31" i="1"/>
  <c r="J31" i="1"/>
  <c r="H31" i="1"/>
  <c r="O30" i="1"/>
  <c r="L30" i="1"/>
  <c r="J30" i="1"/>
  <c r="H30" i="1"/>
  <c r="O29" i="1"/>
  <c r="L29" i="1"/>
  <c r="J29" i="1"/>
  <c r="H29" i="1"/>
  <c r="O28" i="1"/>
  <c r="L28" i="1"/>
  <c r="J28" i="1"/>
  <c r="H28" i="1"/>
  <c r="O27" i="1"/>
  <c r="L27" i="1"/>
  <c r="J27" i="1"/>
  <c r="H27" i="1"/>
  <c r="O26" i="1"/>
  <c r="L26" i="1"/>
  <c r="J26" i="1"/>
  <c r="H26" i="1"/>
  <c r="O25" i="1"/>
  <c r="L25" i="1"/>
  <c r="J25" i="1"/>
  <c r="H25" i="1"/>
  <c r="AB24"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<sst xmlns="http://schemas.openxmlformats.org/spreadsheetml/2006/main" count="685" uniqueCount="237">
  <si>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</si>
  <si>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</si>
  <si>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</si>
  <si>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</si>
  <si>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</si>
  <si>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</si>
  <si>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</si>
  <si>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</si>
  <si>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</si>
  <si>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</si>
  <si>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</si>
  <si>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</si>
  <si>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</si>
  <si>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</si>
  <si>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</si>
  <si>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</si>
  <si>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</si>
  <si>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</si>
  <si>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</si>
  <si>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</si>
  <si>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</si>
  <si>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</si>
  <si>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</si>
  <si>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</si>
  <si>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</si>
  <si>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</si>
  <si>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</si>
  <si>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</si>
  <si>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</si>
  <si>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</si>
  <si>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</si>
  <si>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</si>
  <si>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May</t>
  </si>
  <si>
    <t>P3110</t>
  </si>
  <si>
    <t>14th Finance Commission Grant Works</t>
  </si>
  <si>
    <t>ddo209</t>
  </si>
  <si>
    <t xml:space="preserve"> Assistant Executive Engineer Electrical West Zone</t>
  </si>
  <si>
    <t>P3111</t>
  </si>
  <si>
    <t>State Finance Commission Untied Grant Works</t>
  </si>
  <si>
    <t>P3158</t>
  </si>
  <si>
    <t>SIP Infrastructure Project works</t>
  </si>
  <si>
    <t>P3298</t>
  </si>
  <si>
    <t>14th Finance Commission Works - SWM Works</t>
  </si>
  <si>
    <t>ddo326</t>
  </si>
  <si>
    <t xml:space="preserve"> Executive Engineer SWM 1 Central Zone</t>
  </si>
  <si>
    <t>P1878</t>
  </si>
  <si>
    <t>18per - Works (Bhagyajyothi, Sooru / Neeru Yojane and General) (54 Lakhs / New Wards)</t>
  </si>
  <si>
    <t>ddo203</t>
  </si>
  <si>
    <t xml:space="preserve"> Assistant Executive Engineer Shri Ramamandir West Zone</t>
  </si>
  <si>
    <t>KRIDL</t>
  </si>
  <si>
    <t>Prakash Nagara</t>
  </si>
  <si>
    <t>098-17-000045</t>
  </si>
  <si>
    <t>Maintenance and Repairs to BBMP Hospitals in Rajajinagar and Malleshwaram Constituency</t>
  </si>
  <si>
    <t>Shree Vinayaka Electricals</t>
  </si>
  <si>
    <t>P0303</t>
  </si>
  <si>
    <t>M and R to Pumpsets, Lifts, DG Sets, Wireless sets and Internal Telephone Exchange</t>
  </si>
  <si>
    <t>098-18-000007</t>
  </si>
  <si>
    <t>Improvements and providing CC road and grill work to conservancy lanes at Prakash Nagara in ward no 98.</t>
  </si>
  <si>
    <t>098-18-000004</t>
  </si>
  <si>
    <t>Improvements to drains and culverts at D-Block Rajajinagar at Prakash Nagar in ward no 98</t>
  </si>
  <si>
    <t>098-18-000010</t>
  </si>
  <si>
    <t>Construction of RCC drain with covering slab to 8th main from 10th cross to 8th cross at Prakashnagara in ward no 98.</t>
  </si>
  <si>
    <t>098-18-000002</t>
  </si>
  <si>
    <t>Improvements to drain and providing deck slab to culverts at 3rd main road Prakash Nagar in ward no 98</t>
  </si>
  <si>
    <t>098-18-000012</t>
  </si>
  <si>
    <t>Construction of RCC drain and covering slab to 7th main from 8th cross 10th cross at Prakashnagara in ward no 98.</t>
  </si>
  <si>
    <t>098-18-000011</t>
  </si>
  <si>
    <t>Construction of RCC drain with covering slab to 8th main from 9th main from 10th cross to dead-end at Prakashnagara in ward no 98.</t>
  </si>
  <si>
    <t>098-17-000056</t>
  </si>
  <si>
    <t>Development works and providing Gazebo and benches to gayathri devi park in Prakashanagara ward no 98 (Comprehensive Development of works in ward no. 97, 98, 108, 99, 101 and 107 of Rajajinagar Division for the year 2016-17 and 2017-18 (No of works 24)</t>
  </si>
  <si>
    <t>M.S. Venkatesh</t>
  </si>
  <si>
    <t>098-17-000073</t>
  </si>
  <si>
    <t>Providing construction of SSM drain and covering slab to 4th cross and 3rd A cross at Prakash Nagara ward no 98</t>
  </si>
  <si>
    <t>098-17-000074</t>
  </si>
  <si>
    <t>Providing construction of SSM drain and covering slab to 1st main road and 3rd cross road at Prakash Nagara ward no 98</t>
  </si>
  <si>
    <t>098-17-000075</t>
  </si>
  <si>
    <t>Providing construction of culverts and CC road behind bridge stone building at Prakash Nagara ward no 98</t>
  </si>
  <si>
    <t>098-17-000076</t>
  </si>
  <si>
    <t>Providing ponds and lighting to to Gayithri devi park in ward no 98</t>
  </si>
  <si>
    <t>Executive Engineer 2 KRIDL</t>
  </si>
  <si>
    <t>098-14-000021</t>
  </si>
  <si>
    <t>Providing SSM drain at 3rd cross 4th main road Mariyappanapalya slum in W-98</t>
  </si>
  <si>
    <t>098-18-000078</t>
  </si>
  <si>
    <t>Maintenance of solid waste management in ward no 98 Prakashnagar</t>
  </si>
  <si>
    <t xml:space="preserve">Karnataka Rural Infrastructure Development Limited   </t>
  </si>
  <si>
    <t>098-18-000038</t>
  </si>
  <si>
    <t>Providing basic amenities, procurement of dustbins and SWM works in ward No.98, Prakash Nagara</t>
  </si>
  <si>
    <t>098-14-000019</t>
  </si>
  <si>
    <t>Providing drain with covering slab for 12th A cross 1st 2nd 3rd cross and CC patches in Mariyappanapalya slum in W-98</t>
  </si>
  <si>
    <t>KIRDL</t>
  </si>
  <si>
    <t>098-17-000022</t>
  </si>
  <si>
    <t>Improvements to Drain and Culvets at 8th Main between 10th Cross and 8th Cross Prakashnagar in Ward 98</t>
  </si>
  <si>
    <t>N. Venkatareddy</t>
  </si>
  <si>
    <t>098-17-000023</t>
  </si>
  <si>
    <t>Improvements to Drain and Culvets at 9th Main between 10th Cross and 8th Cross Prakashnagar in Ward 98</t>
  </si>
  <si>
    <t>098-14-000013</t>
  </si>
  <si>
    <t xml:space="preserve">Ward Maintenance 1st shift 6.00am to 2.00pm in ward No.98 </t>
  </si>
  <si>
    <t>A. Venkatesh</t>
  </si>
  <si>
    <t>098-16-000005</t>
  </si>
  <si>
    <t>Improvements Drain and Culverts 3rd Main B/W 8th Cross and 9th Cross Prakashnagra Ward No 98</t>
  </si>
  <si>
    <t>C.V. Raghava</t>
  </si>
  <si>
    <t>098-17-000024</t>
  </si>
  <si>
    <t>Improvements to Drain and Culvets at 3rd Main between 9th Cross and 10th Cross Prakashnagar in Ward 98</t>
  </si>
  <si>
    <t>T. Rajesh</t>
  </si>
  <si>
    <t>098-17-000021</t>
  </si>
  <si>
    <t>Improvements to Drain and Culvets at 7th Main between 10th Cross and 8th Cross Prakashnagar in Ward 98</t>
  </si>
  <si>
    <t>Sri. T. Rajesh</t>
  </si>
  <si>
    <t>098-18-000052</t>
  </si>
  <si>
    <t>Providing LED lightinings to Gayatri Devi Park Ward No 98</t>
  </si>
  <si>
    <t>Executive Engineer 2</t>
  </si>
  <si>
    <t>098-18-000059</t>
  </si>
  <si>
    <t>Providing CC cameras in ward No.98</t>
  </si>
  <si>
    <t>098-18-000058</t>
  </si>
  <si>
    <t>Improvements to culverts at Mariyappanapalya and Prakash Nagara ward No.98</t>
  </si>
  <si>
    <t>098-18-000050</t>
  </si>
  <si>
    <t>Improvements to Anganwadi at 4th N Block Rajajinagara, Anganawadi at 5th main Mariyappanapalya and  Providing Rain Water Harvesting at Ward No 98.</t>
  </si>
  <si>
    <t>Executive Engineer-2, KRIDL (West)</t>
  </si>
  <si>
    <t>098-18-000062</t>
  </si>
  <si>
    <t>Providing WI-FI connection to Prakashnagara, ward No.98</t>
  </si>
  <si>
    <t>098-18-000061</t>
  </si>
  <si>
    <t>Construction of  Stadium behind Sai college in ward No.98</t>
  </si>
  <si>
    <t>098-17-000072</t>
  </si>
  <si>
    <t>Development of stadium and surrounding area Prakash Nagara  ward no 98</t>
  </si>
  <si>
    <t>098-17-000069</t>
  </si>
  <si>
    <t>Construction of arch for Subramanya temple road Mariyapppana palya ward no 98</t>
  </si>
  <si>
    <t>July</t>
  </si>
  <si>
    <t>098-16-000034</t>
  </si>
  <si>
    <t>Providing pipeline connection from borewell for public utility at 4th main road opposite to sumathi choultry in ward no-98</t>
  </si>
  <si>
    <t>Sri. Harish A.D</t>
  </si>
  <si>
    <t>098-16-000035</t>
  </si>
  <si>
    <t>Providing pipeline connection from borewell for public utility at 59th A cross 4th N block in ward no-98</t>
  </si>
  <si>
    <t>098-16-000031</t>
  </si>
  <si>
    <t>Providing pipeline connection from borewell to public utility at 59th A cross(from chainage 100 onwards) 4th N block in ward no-98</t>
  </si>
  <si>
    <t>098-16-000033</t>
  </si>
  <si>
    <t>Providing pipeline connection from borewell to public utility at 6th cross beside tailoring center in ward no-98</t>
  </si>
  <si>
    <t>098-16-000036</t>
  </si>
  <si>
    <t>Providing pipeline connection from borewell for public utility at 7th cross behind tailoring center in ward no-98</t>
  </si>
  <si>
    <t>098-16-000032</t>
  </si>
  <si>
    <t>Providing pipeline connection from borewell to public utility at 5th cross beside masjid in ward no-98</t>
  </si>
  <si>
    <t>098-17-000071</t>
  </si>
  <si>
    <t>Construction of Stadium at play ground of Prakash Nagara ward no 98</t>
  </si>
  <si>
    <t>Karnataka Rural Infrastructure Development Limited</t>
  </si>
  <si>
    <t>098-18-000045</t>
  </si>
  <si>
    <t>Construction of RCC drain at 10th cross, Parkash Nagara, ward No.98</t>
  </si>
  <si>
    <t>098-18-000048</t>
  </si>
  <si>
    <t>Improvements to drain and CC road 4th, 5th, 6th and 7th cross Mariyappana Palya between 5th and 11th main in ward No.98</t>
  </si>
  <si>
    <t>098-18-000046</t>
  </si>
  <si>
    <t>Improvements to drain at 1stcross D Block from Rajkumar road till 14th main both sides in ward No.98</t>
  </si>
  <si>
    <t>098-18-000034</t>
  </si>
  <si>
    <t>Providing LED Street lights in and around Prakash Nagara ward no 98.</t>
  </si>
  <si>
    <t>Executive Engineer KRIDL</t>
  </si>
  <si>
    <t>P0190</t>
  </si>
  <si>
    <t>Works sanctioned by Hon Mayor</t>
  </si>
  <si>
    <t>098-18-000035</t>
  </si>
  <si>
    <t>Providing LED Street lights in and around 4th N Block ward no 98 Prakash Nagara.</t>
  </si>
  <si>
    <t>098-18-000044</t>
  </si>
  <si>
    <t>Providing rain water harvesting for BBMP properties in ward No.98</t>
  </si>
  <si>
    <t>098-18-000047</t>
  </si>
  <si>
    <t>Renovation of Arch at 8th cross prakash Nagara, ward No.98</t>
  </si>
  <si>
    <t>098-18-000040</t>
  </si>
  <si>
    <t>Providing CC road and cross roads between 8th cross and 9th cross in ward No.98, Prakashnagara</t>
  </si>
  <si>
    <t>098-18-000042</t>
  </si>
  <si>
    <t>Drilling of borewells at Mariyappanapalya, Parkash Nagara and 4th N block Rajajinagara, ward No.98</t>
  </si>
  <si>
    <t>August</t>
  </si>
  <si>
    <t>098-17-000026</t>
  </si>
  <si>
    <t>Improvements to Drain and Culvets at 6th Main between 9th Cross and 8th Cross Prakashnagar in Ward 98</t>
  </si>
  <si>
    <t>Sri. Manjunathaswamy M</t>
  </si>
  <si>
    <t>098-18-000054</t>
  </si>
  <si>
    <t>Construction of mustring centre at 4th N block near post office, Rajajinagara, ward No.98</t>
  </si>
  <si>
    <t xml:space="preserve">Karnataka Rural Infrastructure Development Limited </t>
  </si>
  <si>
    <t>098-17-000070</t>
  </si>
  <si>
    <t>Construction of archs for Ayyappa temple road at Prakash Nagara 7th cross ward no 98</t>
  </si>
  <si>
    <t>098-18-000014</t>
  </si>
  <si>
    <t>Improvements to roads and drains at Prakashnagara and surrounding areas in ward no 98.</t>
  </si>
  <si>
    <t>Executive Enginner-2, KRIDL</t>
  </si>
  <si>
    <t>September</t>
  </si>
  <si>
    <t>098-17-000062</t>
  </si>
  <si>
    <t>Construction of Bangalore-1 center at 3rd cross in ward no 98</t>
  </si>
  <si>
    <t>098-18-000057</t>
  </si>
  <si>
    <t>Providing name boards at Prakash Nagara and Mariyappanapalya ward No.98</t>
  </si>
  <si>
    <t>098-17-000078</t>
  </si>
  <si>
    <t>Improvements northern side of Gayithri devi park and entrance area in ward no 98</t>
  </si>
  <si>
    <t>098-18-000056</t>
  </si>
  <si>
    <t>Development of cross roads connecting to Edga Maidaana and Mazid Mariyappana Palya, ward No.98</t>
  </si>
  <si>
    <t>098-17-000064</t>
  </si>
  <si>
    <t>Renovation of building at GD park for midday meal hall for senior citizen.</t>
  </si>
  <si>
    <t>098-18-000033</t>
  </si>
  <si>
    <t>Providing mineral water plant at 59th A cross 4th N block Rajajinagara in ward no 98</t>
  </si>
  <si>
    <t>October</t>
  </si>
  <si>
    <t>098-18-000063</t>
  </si>
  <si>
    <t>Construction of U shape drain in V-112 in Vrishvabhav i Valley in Prakashnagar in Ward No.98</t>
  </si>
  <si>
    <t>Sri V Vasu</t>
  </si>
  <si>
    <t>P3106</t>
  </si>
  <si>
    <t>Nagarothana Works</t>
  </si>
  <si>
    <t>ddo313</t>
  </si>
  <si>
    <t xml:space="preserve"> Chief Engineer SWD Central Zone</t>
  </si>
  <si>
    <t>098-18-000039</t>
  </si>
  <si>
    <t>Improvements to drain and road at 10th main road from 6th cross to 7th corss in ward No.98, Prakashnagara</t>
  </si>
  <si>
    <t>098-17-000099</t>
  </si>
  <si>
    <t>Purchase of Shredder in Gayathri Devi Park</t>
  </si>
  <si>
    <t>Naveena D G</t>
  </si>
  <si>
    <t>098-18-000041</t>
  </si>
  <si>
    <t>Reconstruction of SWD from Dr.Rajkumar road conservancy till 6th cross Kodandarama Temple in ward No.98, Prakashnagara</t>
  </si>
  <si>
    <t>November</t>
  </si>
  <si>
    <t>098-17-000036</t>
  </si>
  <si>
    <t>Construction of Pharmacy building at 14th main Prakashnagar ward no 98</t>
  </si>
  <si>
    <t>P3173</t>
  </si>
  <si>
    <t>Special Development works in ward No.124, 185, 98, 188, 10, 14, 16, 30, 28, 37, 42, 130, 159, 65, 66, 73, 79, 80, 90, 95, 94, 89, 108, 111, 115, 97, 105, 131, 133, 119, 125, 137, 143, 124, 158, 138, 83, 166, 182, 129, 165, 161, 04, 88, 27, 31, 32, 52, 44, 26, 07, 183, 178, 187 (Rs.100 lakhs per ward)</t>
  </si>
  <si>
    <t>098-17-000040</t>
  </si>
  <si>
    <t>Construction of drains culverts and providing CC roads to 8th cross from 1st Main to 2nd main at Prakashnagar ward no 98</t>
  </si>
  <si>
    <t>P3113</t>
  </si>
  <si>
    <t>Developmental works at ward No.98</t>
  </si>
  <si>
    <t>098-17-000033</t>
  </si>
  <si>
    <t>Construction of drains and providing CC roads to 7th Cross from 5th main to 3rd main in Prakashnagar in ward no 98</t>
  </si>
  <si>
    <t>098-17-000039</t>
  </si>
  <si>
    <t>Construction of drains culverts, and providing CC roads to 4th A main and 4th B main at Prakashnagar ward no 98</t>
  </si>
  <si>
    <t>P3167</t>
  </si>
  <si>
    <t>Special Development works in ward No.119, 124, 131, 133, 157, 171, 177, 181, 192, 184, 185, 194, 155, 105, 90, 91, 92, 98, 09, 11, 02, 65 (Rs.100 lakhs per ward)</t>
  </si>
  <si>
    <t>098-17-000042</t>
  </si>
  <si>
    <t>Construction of drains culverts, and providing CC roads to 6th B cross and 6th C cross at Bayanna boundary at Prakashnagar ward no 98</t>
  </si>
  <si>
    <t>098-17-000038</t>
  </si>
  <si>
    <t>Construction of drains culverts, Culverts and providing RCC covering to 5th cross 6th cross of 10th cross at Prakashnagar ward no 98</t>
  </si>
  <si>
    <t>098-17-000032</t>
  </si>
  <si>
    <t>Construction of drains and providing CC roads to 7th A Cross from 5th main to 3rd main in Prakashnagar in ward no 98</t>
  </si>
  <si>
    <t>098-17-000031</t>
  </si>
  <si>
    <t>Construction of drains and providing CC roads to 5th B Cross from 3rd main to SWD in Prakashnagar ward no 98</t>
  </si>
  <si>
    <t>098-18-000030</t>
  </si>
  <si>
    <t>Providing CC road and L shape drain at Mariyappanapalya slum in ward no 98</t>
  </si>
  <si>
    <t>P3355</t>
  </si>
  <si>
    <t>Road development works in ward no 98</t>
  </si>
  <si>
    <t>December</t>
  </si>
  <si>
    <t>098-17-000063</t>
  </si>
  <si>
    <t>Construction of 1st floor for Tapasana (Multi specialty Lab) at existing IPP center, Mariyappa Palya ward no 98</t>
  </si>
  <si>
    <t>098-18-000060</t>
  </si>
  <si>
    <t>Asphalting to 9th main (western side of Gayathridevi park) Mariyappana Palya, ward No.98</t>
  </si>
  <si>
    <t>098-19-000002</t>
  </si>
  <si>
    <t>Improvements to side drains foothpath and roads at cross roads of Mariyappanapalya in ward no-98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</si>
</sst>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4"/>
  <sheetViews>
    <sheetView tabSelected="1" workbookViewId="0">
      <selection activeCell="A2" sqref="A2:XFD74"/>
    </sheetView>
  </sheetViews>
  <sheetFormatPr defaultRowHeight="14.5" x14ac:dyDescent="0.35"/>
  <cols>
    <col min="2" max="2" width="6.26953125" bestFit="1" customWidth="1"/>
    <col min="3" max="3" width="9.54296875" bestFit="1" customWidth="1"/>
    <col min="5" max="5" width="12.4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3277</v>
      </c>
      <c r="B2" s="5" t="s">
        <v>28</v>
      </c>
      <c r="C2" s="6">
        <v>43566</v>
      </c>
      <c r="D2" s="7">
        <v>98</v>
      </c>
      <c r="E2" s="8" t="s">
        <v>50</v>
      </c>
      <c r="F2" s="7" t="s">
        <v>51</v>
      </c>
      <c r="G2" s="8" t="s">
        <v>52</v>
      </c>
      <c r="H2" s="7" t="str">
        <f>"000184"</f>
        <v>000184</v>
      </c>
      <c r="I2" s="6">
        <v>43182</v>
      </c>
      <c r="J2" s="7" t="str">
        <f>"000036"</f>
        <v>000036</v>
      </c>
      <c r="K2" s="6">
        <v>43284</v>
      </c>
      <c r="L2" s="7" t="str">
        <f>"000036"</f>
        <v>000036</v>
      </c>
      <c r="M2" s="6">
        <v>43284</v>
      </c>
      <c r="N2" s="7">
        <v>17</v>
      </c>
      <c r="O2" s="7" t="str">
        <f>"000286"</f>
        <v>000286</v>
      </c>
      <c r="P2" s="6">
        <v>43564</v>
      </c>
      <c r="Q2" s="9">
        <v>1.79094</v>
      </c>
      <c r="R2" s="9">
        <v>5.552E-2</v>
      </c>
      <c r="S2" s="9">
        <v>1.73542</v>
      </c>
      <c r="T2" s="7">
        <v>11</v>
      </c>
      <c r="U2" s="6">
        <v>43566</v>
      </c>
      <c r="V2" s="7">
        <v>9110200017</v>
      </c>
      <c r="W2" s="8" t="s">
        <v>53</v>
      </c>
      <c r="X2" s="7" t="s">
        <v>54</v>
      </c>
      <c r="Y2" s="8" t="s">
        <v>55</v>
      </c>
      <c r="Z2" s="7" t="s">
        <v>35</v>
      </c>
      <c r="AA2" s="8" t="s">
        <v>36</v>
      </c>
      <c r="AB2" s="9">
        <f t="shared" ref="AB2:AB24" si="0">Q2/100</f>
        <v>1.7909399999999999E-2</v>
      </c>
    </row>
    <row r="3" spans="1:28" x14ac:dyDescent="0.35">
      <c r="A3" s="4">
        <v>3278</v>
      </c>
      <c r="B3" s="5" t="s">
        <v>28</v>
      </c>
      <c r="C3" s="6">
        <v>43566</v>
      </c>
      <c r="D3" s="7">
        <v>98</v>
      </c>
      <c r="E3" s="8" t="s">
        <v>50</v>
      </c>
      <c r="F3" s="7" t="s">
        <v>56</v>
      </c>
      <c r="G3" s="8" t="s">
        <v>57</v>
      </c>
      <c r="H3" s="7" t="str">
        <f>"000227"</f>
        <v>000227</v>
      </c>
      <c r="I3" s="6">
        <v>43197</v>
      </c>
      <c r="J3" s="7" t="str">
        <f>"000076"</f>
        <v>000076</v>
      </c>
      <c r="K3" s="6">
        <v>43530</v>
      </c>
      <c r="L3" s="7" t="str">
        <f>"000177"</f>
        <v>000177</v>
      </c>
      <c r="M3" s="6">
        <v>43543</v>
      </c>
      <c r="N3" s="7">
        <v>18</v>
      </c>
      <c r="O3" s="7" t="str">
        <f>"000354"</f>
        <v>000354</v>
      </c>
      <c r="P3" s="6">
        <v>43566</v>
      </c>
      <c r="Q3" s="9">
        <v>34.672229999999999</v>
      </c>
      <c r="R3" s="9">
        <v>4.4183899999999996</v>
      </c>
      <c r="S3" s="9">
        <v>30.25384</v>
      </c>
      <c r="T3" s="7">
        <v>13</v>
      </c>
      <c r="U3" s="6">
        <v>43566</v>
      </c>
      <c r="V3" s="7">
        <v>9449863068</v>
      </c>
      <c r="W3" s="8" t="s">
        <v>49</v>
      </c>
      <c r="X3" s="7" t="s">
        <v>37</v>
      </c>
      <c r="Y3" s="8" t="s">
        <v>38</v>
      </c>
      <c r="Z3" s="7" t="s">
        <v>47</v>
      </c>
      <c r="AA3" s="8" t="s">
        <v>48</v>
      </c>
      <c r="AB3" s="9">
        <f t="shared" si="0"/>
        <v>0.34672229999999998</v>
      </c>
    </row>
    <row r="4" spans="1:28" x14ac:dyDescent="0.35">
      <c r="A4" s="4">
        <v>3279</v>
      </c>
      <c r="B4" s="5" t="s">
        <v>28</v>
      </c>
      <c r="C4" s="6">
        <v>43566</v>
      </c>
      <c r="D4" s="7">
        <v>98</v>
      </c>
      <c r="E4" s="8" t="s">
        <v>50</v>
      </c>
      <c r="F4" s="7" t="s">
        <v>58</v>
      </c>
      <c r="G4" s="8" t="s">
        <v>59</v>
      </c>
      <c r="H4" s="7" t="str">
        <f>"000235"</f>
        <v>000235</v>
      </c>
      <c r="I4" s="6">
        <v>43197</v>
      </c>
      <c r="J4" s="7" t="str">
        <f>"000071"</f>
        <v>000071</v>
      </c>
      <c r="K4" s="6">
        <v>43509</v>
      </c>
      <c r="L4" s="7" t="str">
        <f>"000180"</f>
        <v>000180</v>
      </c>
      <c r="M4" s="6">
        <v>43544</v>
      </c>
      <c r="N4" s="7">
        <v>18</v>
      </c>
      <c r="O4" s="7" t="str">
        <f>"000357"</f>
        <v>000357</v>
      </c>
      <c r="P4" s="6">
        <v>43566</v>
      </c>
      <c r="Q4" s="9">
        <v>44.782269999999997</v>
      </c>
      <c r="R4" s="9">
        <v>5.72288</v>
      </c>
      <c r="S4" s="9">
        <v>39.05939</v>
      </c>
      <c r="T4" s="7">
        <v>13</v>
      </c>
      <c r="U4" s="6">
        <v>43566</v>
      </c>
      <c r="V4" s="7">
        <v>9449863068</v>
      </c>
      <c r="W4" s="8" t="s">
        <v>49</v>
      </c>
      <c r="X4" s="7" t="s">
        <v>37</v>
      </c>
      <c r="Y4" s="8" t="s">
        <v>38</v>
      </c>
      <c r="Z4" s="7" t="s">
        <v>47</v>
      </c>
      <c r="AA4" s="8" t="s">
        <v>48</v>
      </c>
      <c r="AB4" s="9">
        <f t="shared" si="0"/>
        <v>0.44782269999999996</v>
      </c>
    </row>
    <row r="5" spans="1:28" x14ac:dyDescent="0.35">
      <c r="A5" s="4">
        <v>3280</v>
      </c>
      <c r="B5" s="5" t="s">
        <v>28</v>
      </c>
      <c r="C5" s="6">
        <v>43566</v>
      </c>
      <c r="D5" s="7">
        <v>98</v>
      </c>
      <c r="E5" s="8" t="s">
        <v>50</v>
      </c>
      <c r="F5" s="7" t="s">
        <v>60</v>
      </c>
      <c r="G5" s="8" t="s">
        <v>61</v>
      </c>
      <c r="H5" s="7" t="str">
        <f>"000232"</f>
        <v>000232</v>
      </c>
      <c r="I5" s="6">
        <v>43197</v>
      </c>
      <c r="J5" s="7" t="str">
        <f>"000075"</f>
        <v>000075</v>
      </c>
      <c r="K5" s="6">
        <v>43530</v>
      </c>
      <c r="L5" s="7" t="str">
        <f>"000175"</f>
        <v>000175</v>
      </c>
      <c r="M5" s="6">
        <v>43543</v>
      </c>
      <c r="N5" s="7">
        <v>18</v>
      </c>
      <c r="O5" s="7" t="str">
        <f>"000358"</f>
        <v>000358</v>
      </c>
      <c r="P5" s="6">
        <v>43566</v>
      </c>
      <c r="Q5" s="9">
        <v>29.700880000000002</v>
      </c>
      <c r="R5" s="9">
        <v>3.7830599999999999</v>
      </c>
      <c r="S5" s="9">
        <v>25.917819999999999</v>
      </c>
      <c r="T5" s="7">
        <v>13</v>
      </c>
      <c r="U5" s="6">
        <v>43566</v>
      </c>
      <c r="V5" s="7">
        <v>9449863068</v>
      </c>
      <c r="W5" s="8" t="s">
        <v>49</v>
      </c>
      <c r="X5" s="7" t="s">
        <v>37</v>
      </c>
      <c r="Y5" s="8" t="s">
        <v>38</v>
      </c>
      <c r="Z5" s="7" t="s">
        <v>47</v>
      </c>
      <c r="AA5" s="8" t="s">
        <v>48</v>
      </c>
      <c r="AB5" s="9">
        <f t="shared" si="0"/>
        <v>0.29700880000000002</v>
      </c>
    </row>
    <row r="6" spans="1:28" x14ac:dyDescent="0.35">
      <c r="A6" s="4">
        <v>3281</v>
      </c>
      <c r="B6" s="5" t="s">
        <v>28</v>
      </c>
      <c r="C6" s="6">
        <v>43566</v>
      </c>
      <c r="D6" s="7">
        <v>98</v>
      </c>
      <c r="E6" s="8" t="s">
        <v>50</v>
      </c>
      <c r="F6" s="7" t="s">
        <v>62</v>
      </c>
      <c r="G6" s="8" t="s">
        <v>63</v>
      </c>
      <c r="H6" s="7" t="str">
        <f>"000234"</f>
        <v>000234</v>
      </c>
      <c r="I6" s="6">
        <v>43197</v>
      </c>
      <c r="J6" s="7" t="str">
        <f>"000079"</f>
        <v>000079</v>
      </c>
      <c r="K6" s="6">
        <v>43531</v>
      </c>
      <c r="L6" s="7" t="str">
        <f>"000179"</f>
        <v>000179</v>
      </c>
      <c r="M6" s="6">
        <v>43544</v>
      </c>
      <c r="N6" s="7">
        <v>18</v>
      </c>
      <c r="O6" s="7" t="str">
        <f>"000359"</f>
        <v>000359</v>
      </c>
      <c r="P6" s="6">
        <v>43566</v>
      </c>
      <c r="Q6" s="9">
        <v>39.904820000000001</v>
      </c>
      <c r="R6" s="9">
        <v>5.1221100000000002</v>
      </c>
      <c r="S6" s="9">
        <v>34.782710000000002</v>
      </c>
      <c r="T6" s="7">
        <v>13</v>
      </c>
      <c r="U6" s="6">
        <v>43566</v>
      </c>
      <c r="V6" s="7">
        <v>9449863068</v>
      </c>
      <c r="W6" s="8" t="s">
        <v>49</v>
      </c>
      <c r="X6" s="7" t="s">
        <v>37</v>
      </c>
      <c r="Y6" s="8" t="s">
        <v>38</v>
      </c>
      <c r="Z6" s="7" t="s">
        <v>47</v>
      </c>
      <c r="AA6" s="8" t="s">
        <v>48</v>
      </c>
      <c r="AB6" s="9">
        <f t="shared" si="0"/>
        <v>0.39904820000000002</v>
      </c>
    </row>
    <row r="7" spans="1:28" x14ac:dyDescent="0.35">
      <c r="A7" s="4">
        <v>3282</v>
      </c>
      <c r="B7" s="5" t="s">
        <v>28</v>
      </c>
      <c r="C7" s="6">
        <v>43566</v>
      </c>
      <c r="D7" s="7">
        <v>98</v>
      </c>
      <c r="E7" s="8" t="s">
        <v>50</v>
      </c>
      <c r="F7" s="7" t="s">
        <v>64</v>
      </c>
      <c r="G7" s="8" t="s">
        <v>65</v>
      </c>
      <c r="H7" s="7" t="str">
        <f>"000236"</f>
        <v>000236</v>
      </c>
      <c r="I7" s="6">
        <v>43197</v>
      </c>
      <c r="J7" s="7" t="str">
        <f>"000078"</f>
        <v>000078</v>
      </c>
      <c r="K7" s="6">
        <v>43531</v>
      </c>
      <c r="L7" s="7" t="str">
        <f>"000178"</f>
        <v>000178</v>
      </c>
      <c r="M7" s="6">
        <v>43544</v>
      </c>
      <c r="N7" s="7">
        <v>18</v>
      </c>
      <c r="O7" s="7" t="str">
        <f>"000360"</f>
        <v>000360</v>
      </c>
      <c r="P7" s="6">
        <v>43566</v>
      </c>
      <c r="Q7" s="9">
        <v>39.99823</v>
      </c>
      <c r="R7" s="9">
        <v>5.1330600000000004</v>
      </c>
      <c r="S7" s="9">
        <v>34.865169999999999</v>
      </c>
      <c r="T7" s="7">
        <v>13</v>
      </c>
      <c r="U7" s="6">
        <v>43566</v>
      </c>
      <c r="V7" s="7">
        <v>9449863068</v>
      </c>
      <c r="W7" s="8" t="s">
        <v>49</v>
      </c>
      <c r="X7" s="7" t="s">
        <v>37</v>
      </c>
      <c r="Y7" s="8" t="s">
        <v>38</v>
      </c>
      <c r="Z7" s="7" t="s">
        <v>47</v>
      </c>
      <c r="AA7" s="8" t="s">
        <v>48</v>
      </c>
      <c r="AB7" s="9">
        <f t="shared" si="0"/>
        <v>0.39998230000000001</v>
      </c>
    </row>
    <row r="8" spans="1:28" x14ac:dyDescent="0.35">
      <c r="A8" s="4">
        <v>3283</v>
      </c>
      <c r="B8" s="5" t="s">
        <v>28</v>
      </c>
      <c r="C8" s="6">
        <v>43566</v>
      </c>
      <c r="D8" s="7">
        <v>98</v>
      </c>
      <c r="E8" s="8" t="s">
        <v>50</v>
      </c>
      <c r="F8" s="7" t="s">
        <v>66</v>
      </c>
      <c r="G8" s="8" t="s">
        <v>67</v>
      </c>
      <c r="H8" s="7" t="str">
        <f>"000233"</f>
        <v>000233</v>
      </c>
      <c r="I8" s="6">
        <v>43197</v>
      </c>
      <c r="J8" s="7" t="str">
        <f>"000077"</f>
        <v>000077</v>
      </c>
      <c r="K8" s="6">
        <v>43530</v>
      </c>
      <c r="L8" s="7" t="str">
        <f>"000176"</f>
        <v>000176</v>
      </c>
      <c r="M8" s="6">
        <v>43543</v>
      </c>
      <c r="N8" s="7">
        <v>18</v>
      </c>
      <c r="O8" s="7" t="str">
        <f>"000383"</f>
        <v>000383</v>
      </c>
      <c r="P8" s="6">
        <v>43566</v>
      </c>
      <c r="Q8" s="9">
        <v>29.813300000000002</v>
      </c>
      <c r="R8" s="9">
        <v>3.81182</v>
      </c>
      <c r="S8" s="9">
        <v>26.001480000000001</v>
      </c>
      <c r="T8" s="7">
        <v>13</v>
      </c>
      <c r="U8" s="6">
        <v>43566</v>
      </c>
      <c r="V8" s="7">
        <v>9449863068</v>
      </c>
      <c r="W8" s="8" t="s">
        <v>49</v>
      </c>
      <c r="X8" s="7" t="s">
        <v>37</v>
      </c>
      <c r="Y8" s="8" t="s">
        <v>38</v>
      </c>
      <c r="Z8" s="7" t="s">
        <v>47</v>
      </c>
      <c r="AA8" s="8" t="s">
        <v>48</v>
      </c>
      <c r="AB8" s="9">
        <f t="shared" si="0"/>
        <v>0.29813300000000004</v>
      </c>
    </row>
    <row r="9" spans="1:28" x14ac:dyDescent="0.35">
      <c r="A9" s="4">
        <v>3284</v>
      </c>
      <c r="B9" s="5" t="s">
        <v>28</v>
      </c>
      <c r="C9" s="6">
        <v>43571</v>
      </c>
      <c r="D9" s="7">
        <v>98</v>
      </c>
      <c r="E9" s="8" t="s">
        <v>50</v>
      </c>
      <c r="F9" s="7" t="s">
        <v>68</v>
      </c>
      <c r="G9" s="8" t="s">
        <v>69</v>
      </c>
      <c r="H9" s="7" t="str">
        <f>"000307"</f>
        <v>000307</v>
      </c>
      <c r="I9" s="6">
        <v>43278</v>
      </c>
      <c r="J9" s="7" t="str">
        <f>"000070"</f>
        <v>000070</v>
      </c>
      <c r="K9" s="6">
        <v>43495</v>
      </c>
      <c r="L9" s="7" t="str">
        <f>"000162"</f>
        <v>000162</v>
      </c>
      <c r="M9" s="6">
        <v>43501</v>
      </c>
      <c r="N9" s="7">
        <v>17</v>
      </c>
      <c r="O9" s="7" t="str">
        <f>"000466"</f>
        <v>000466</v>
      </c>
      <c r="P9" s="6">
        <v>43567</v>
      </c>
      <c r="Q9" s="9">
        <v>99.865369999999999</v>
      </c>
      <c r="R9" s="9">
        <v>5.9690700000000003</v>
      </c>
      <c r="S9" s="9">
        <v>93.896299999999997</v>
      </c>
      <c r="T9" s="7">
        <v>18</v>
      </c>
      <c r="U9" s="6">
        <v>43571</v>
      </c>
      <c r="V9" s="7">
        <v>9886155297</v>
      </c>
      <c r="W9" s="8" t="s">
        <v>70</v>
      </c>
      <c r="X9" s="7" t="s">
        <v>39</v>
      </c>
      <c r="Y9" s="8" t="s">
        <v>40</v>
      </c>
      <c r="Z9" s="7" t="s">
        <v>47</v>
      </c>
      <c r="AA9" s="8" t="s">
        <v>48</v>
      </c>
      <c r="AB9" s="9">
        <f t="shared" si="0"/>
        <v>0.99865369999999998</v>
      </c>
    </row>
    <row r="10" spans="1:28" x14ac:dyDescent="0.35">
      <c r="A10" s="4">
        <v>3285</v>
      </c>
      <c r="B10" s="5" t="s">
        <v>28</v>
      </c>
      <c r="C10" s="6">
        <v>43578</v>
      </c>
      <c r="D10" s="7">
        <v>98</v>
      </c>
      <c r="E10" s="8" t="s">
        <v>50</v>
      </c>
      <c r="F10" s="7" t="s">
        <v>71</v>
      </c>
      <c r="G10" s="8" t="s">
        <v>72</v>
      </c>
      <c r="H10" s="7" t="str">
        <f>"000240"</f>
        <v>000240</v>
      </c>
      <c r="I10" s="6">
        <v>43199</v>
      </c>
      <c r="J10" s="7" t="str">
        <f>"000019"</f>
        <v>000019</v>
      </c>
      <c r="K10" s="6">
        <v>43280</v>
      </c>
      <c r="L10" s="7" t="str">
        <f>"000064"</f>
        <v>000064</v>
      </c>
      <c r="M10" s="6">
        <v>43321</v>
      </c>
      <c r="N10" s="7">
        <v>17</v>
      </c>
      <c r="O10" s="7" t="str">
        <f>"000706"</f>
        <v>000706</v>
      </c>
      <c r="P10" s="6">
        <v>43577</v>
      </c>
      <c r="Q10" s="9">
        <v>29.571429999999999</v>
      </c>
      <c r="R10" s="9">
        <v>3.22628</v>
      </c>
      <c r="S10" s="9">
        <v>26.34515</v>
      </c>
      <c r="T10" s="7">
        <v>24</v>
      </c>
      <c r="U10" s="6">
        <v>43578</v>
      </c>
      <c r="V10" s="7">
        <v>9449863068</v>
      </c>
      <c r="W10" s="8" t="s">
        <v>49</v>
      </c>
      <c r="X10" s="7" t="s">
        <v>33</v>
      </c>
      <c r="Y10" s="8" t="s">
        <v>34</v>
      </c>
      <c r="Z10" s="7" t="s">
        <v>47</v>
      </c>
      <c r="AA10" s="8" t="s">
        <v>48</v>
      </c>
      <c r="AB10" s="9">
        <f t="shared" si="0"/>
        <v>0.29571429999999999</v>
      </c>
    </row>
    <row r="11" spans="1:28" x14ac:dyDescent="0.35">
      <c r="A11" s="4">
        <v>3286</v>
      </c>
      <c r="B11" s="5" t="s">
        <v>28</v>
      </c>
      <c r="C11" s="6">
        <v>43578</v>
      </c>
      <c r="D11" s="7">
        <v>98</v>
      </c>
      <c r="E11" s="8" t="s">
        <v>50</v>
      </c>
      <c r="F11" s="7" t="s">
        <v>73</v>
      </c>
      <c r="G11" s="8" t="s">
        <v>74</v>
      </c>
      <c r="H11" s="7" t="str">
        <f>"000241"</f>
        <v>000241</v>
      </c>
      <c r="I11" s="6">
        <v>43201</v>
      </c>
      <c r="J11" s="7" t="str">
        <f>"000021"</f>
        <v>000021</v>
      </c>
      <c r="K11" s="6">
        <v>43280</v>
      </c>
      <c r="L11" s="7" t="str">
        <f>"000063"</f>
        <v>000063</v>
      </c>
      <c r="M11" s="6">
        <v>43321</v>
      </c>
      <c r="N11" s="7">
        <v>17</v>
      </c>
      <c r="O11" s="7" t="str">
        <f>"000707"</f>
        <v>000707</v>
      </c>
      <c r="P11" s="6">
        <v>43577</v>
      </c>
      <c r="Q11" s="9">
        <v>29.923459999999999</v>
      </c>
      <c r="R11" s="9">
        <v>3.2616399999999999</v>
      </c>
      <c r="S11" s="9">
        <v>26.661819999999999</v>
      </c>
      <c r="T11" s="7">
        <v>24</v>
      </c>
      <c r="U11" s="6">
        <v>43578</v>
      </c>
      <c r="V11" s="7">
        <v>9449863068</v>
      </c>
      <c r="W11" s="8" t="s">
        <v>49</v>
      </c>
      <c r="X11" s="7" t="s">
        <v>33</v>
      </c>
      <c r="Y11" s="8" t="s">
        <v>34</v>
      </c>
      <c r="Z11" s="7" t="s">
        <v>47</v>
      </c>
      <c r="AA11" s="8" t="s">
        <v>48</v>
      </c>
      <c r="AB11" s="9">
        <f t="shared" si="0"/>
        <v>0.29923459999999996</v>
      </c>
    </row>
    <row r="12" spans="1:28" x14ac:dyDescent="0.35">
      <c r="A12" s="4">
        <v>3287</v>
      </c>
      <c r="B12" s="5" t="s">
        <v>28</v>
      </c>
      <c r="C12" s="6">
        <v>43578</v>
      </c>
      <c r="D12" s="7">
        <v>98</v>
      </c>
      <c r="E12" s="8" t="s">
        <v>50</v>
      </c>
      <c r="F12" s="7" t="s">
        <v>75</v>
      </c>
      <c r="G12" s="8" t="s">
        <v>76</v>
      </c>
      <c r="H12" s="7" t="str">
        <f>"000239"</f>
        <v>000239</v>
      </c>
      <c r="I12" s="6">
        <v>43199</v>
      </c>
      <c r="J12" s="7" t="str">
        <f>"000020"</f>
        <v>000020</v>
      </c>
      <c r="K12" s="6">
        <v>43280</v>
      </c>
      <c r="L12" s="7" t="str">
        <f>"000062"</f>
        <v>000062</v>
      </c>
      <c r="M12" s="6">
        <v>43321</v>
      </c>
      <c r="N12" s="7">
        <v>17</v>
      </c>
      <c r="O12" s="7" t="str">
        <f>"000708"</f>
        <v>000708</v>
      </c>
      <c r="P12" s="6">
        <v>43577</v>
      </c>
      <c r="Q12" s="9">
        <v>24.85915</v>
      </c>
      <c r="R12" s="9">
        <v>2.7126700000000001</v>
      </c>
      <c r="S12" s="9">
        <v>22.14648</v>
      </c>
      <c r="T12" s="7">
        <v>24</v>
      </c>
      <c r="U12" s="6">
        <v>43578</v>
      </c>
      <c r="V12" s="7">
        <v>9449863068</v>
      </c>
      <c r="W12" s="8" t="s">
        <v>49</v>
      </c>
      <c r="X12" s="7" t="s">
        <v>33</v>
      </c>
      <c r="Y12" s="8" t="s">
        <v>34</v>
      </c>
      <c r="Z12" s="7" t="s">
        <v>47</v>
      </c>
      <c r="AA12" s="8" t="s">
        <v>48</v>
      </c>
      <c r="AB12" s="9">
        <f t="shared" si="0"/>
        <v>0.24859149999999999</v>
      </c>
    </row>
    <row r="13" spans="1:28" x14ac:dyDescent="0.35">
      <c r="A13" s="4">
        <v>3288</v>
      </c>
      <c r="B13" s="5" t="s">
        <v>28</v>
      </c>
      <c r="C13" s="6">
        <v>43578</v>
      </c>
      <c r="D13" s="7">
        <v>98</v>
      </c>
      <c r="E13" s="8" t="s">
        <v>50</v>
      </c>
      <c r="F13" s="7" t="s">
        <v>77</v>
      </c>
      <c r="G13" s="8" t="s">
        <v>78</v>
      </c>
      <c r="H13" s="7" t="str">
        <f>"000107"</f>
        <v>000107</v>
      </c>
      <c r="I13" s="6">
        <v>43461</v>
      </c>
      <c r="J13" s="7" t="str">
        <f>"000001"</f>
        <v>000001</v>
      </c>
      <c r="K13" s="6">
        <v>43560</v>
      </c>
      <c r="L13" s="7" t="str">
        <f>"000002"</f>
        <v>000002</v>
      </c>
      <c r="M13" s="6">
        <v>43560</v>
      </c>
      <c r="N13" s="7">
        <v>17</v>
      </c>
      <c r="O13" s="7" t="str">
        <f>"001431"</f>
        <v>001431</v>
      </c>
      <c r="P13" s="6">
        <v>43595</v>
      </c>
      <c r="Q13" s="9">
        <v>67.180179999999993</v>
      </c>
      <c r="R13" s="9">
        <v>8.3222199999999997</v>
      </c>
      <c r="S13" s="9">
        <v>58.857959999999999</v>
      </c>
      <c r="T13" s="7">
        <v>24</v>
      </c>
      <c r="U13" s="6">
        <v>43578</v>
      </c>
      <c r="V13" s="7">
        <v>9945535033</v>
      </c>
      <c r="W13" s="8" t="s">
        <v>79</v>
      </c>
      <c r="X13" s="7" t="s">
        <v>33</v>
      </c>
      <c r="Y13" s="8" t="s">
        <v>34</v>
      </c>
      <c r="Z13" s="7" t="s">
        <v>35</v>
      </c>
      <c r="AA13" s="8" t="s">
        <v>36</v>
      </c>
      <c r="AB13" s="9">
        <f t="shared" si="0"/>
        <v>0.67180179999999989</v>
      </c>
    </row>
    <row r="14" spans="1:28" x14ac:dyDescent="0.35">
      <c r="A14" s="4">
        <v>3289</v>
      </c>
      <c r="B14" s="5" t="s">
        <v>28</v>
      </c>
      <c r="C14" s="6">
        <v>43581</v>
      </c>
      <c r="D14" s="7">
        <v>98</v>
      </c>
      <c r="E14" s="8" t="s">
        <v>50</v>
      </c>
      <c r="F14" s="7" t="s">
        <v>80</v>
      </c>
      <c r="G14" s="8" t="s">
        <v>81</v>
      </c>
      <c r="H14" s="7" t="str">
        <f>"000037"</f>
        <v>000037</v>
      </c>
      <c r="I14" s="6">
        <v>41802</v>
      </c>
      <c r="J14" s="7" t="str">
        <f>"000057"</f>
        <v>000057</v>
      </c>
      <c r="K14" s="6">
        <v>42905</v>
      </c>
      <c r="L14" s="7" t="str">
        <f>"000150"</f>
        <v>000150</v>
      </c>
      <c r="M14" s="6">
        <v>42906</v>
      </c>
      <c r="N14" s="7">
        <v>14</v>
      </c>
      <c r="O14" s="7" t="str">
        <f>"000920"</f>
        <v>000920</v>
      </c>
      <c r="P14" s="6">
        <v>43579</v>
      </c>
      <c r="Q14" s="9">
        <v>13.358449999999999</v>
      </c>
      <c r="R14" s="9">
        <v>1.9436</v>
      </c>
      <c r="S14" s="9">
        <v>11.414849999999999</v>
      </c>
      <c r="T14" s="7">
        <v>30</v>
      </c>
      <c r="U14" s="6">
        <v>43581</v>
      </c>
      <c r="V14" s="7">
        <v>9449863068</v>
      </c>
      <c r="W14" s="8" t="s">
        <v>49</v>
      </c>
      <c r="X14" s="7" t="s">
        <v>45</v>
      </c>
      <c r="Y14" s="8" t="s">
        <v>46</v>
      </c>
      <c r="Z14" s="7" t="s">
        <v>47</v>
      </c>
      <c r="AA14" s="8" t="s">
        <v>48</v>
      </c>
      <c r="AB14" s="9">
        <f t="shared" si="0"/>
        <v>0.13358449999999999</v>
      </c>
    </row>
    <row r="15" spans="1:28" x14ac:dyDescent="0.35">
      <c r="A15" s="4">
        <v>3290</v>
      </c>
      <c r="B15" s="5" t="s">
        <v>32</v>
      </c>
      <c r="C15" s="6">
        <v>43591</v>
      </c>
      <c r="D15" s="7">
        <v>98</v>
      </c>
      <c r="E15" s="8" t="s">
        <v>50</v>
      </c>
      <c r="F15" s="7" t="s">
        <v>82</v>
      </c>
      <c r="G15" s="8" t="s">
        <v>83</v>
      </c>
      <c r="H15" s="7" t="str">
        <f>"000065"</f>
        <v>000065</v>
      </c>
      <c r="I15" s="6">
        <v>43509</v>
      </c>
      <c r="J15" s="7" t="str">
        <f>"000073"</f>
        <v>000073</v>
      </c>
      <c r="K15" s="6">
        <v>43525</v>
      </c>
      <c r="L15" s="7" t="str">
        <f>"000173"</f>
        <v>000173</v>
      </c>
      <c r="M15" s="6">
        <v>43532</v>
      </c>
      <c r="N15" s="7">
        <v>18</v>
      </c>
      <c r="O15" s="7" t="str">
        <f>"001235"</f>
        <v>001235</v>
      </c>
      <c r="P15" s="6">
        <v>43585</v>
      </c>
      <c r="Q15" s="9">
        <v>14.923400000000001</v>
      </c>
      <c r="R15" s="9">
        <v>1.46035</v>
      </c>
      <c r="S15" s="9">
        <v>13.463050000000001</v>
      </c>
      <c r="T15" s="7">
        <v>35</v>
      </c>
      <c r="U15" s="6">
        <v>43591</v>
      </c>
      <c r="V15" s="7">
        <v>9945867208</v>
      </c>
      <c r="W15" s="8" t="s">
        <v>84</v>
      </c>
      <c r="X15" s="7" t="s">
        <v>41</v>
      </c>
      <c r="Y15" s="8" t="s">
        <v>42</v>
      </c>
      <c r="Z15" s="7" t="s">
        <v>47</v>
      </c>
      <c r="AA15" s="8" t="s">
        <v>48</v>
      </c>
      <c r="AB15" s="9">
        <f t="shared" si="0"/>
        <v>0.14923400000000001</v>
      </c>
    </row>
    <row r="16" spans="1:28" x14ac:dyDescent="0.35">
      <c r="A16" s="4">
        <v>3291</v>
      </c>
      <c r="B16" s="5" t="s">
        <v>32</v>
      </c>
      <c r="C16" s="6">
        <v>43591</v>
      </c>
      <c r="D16" s="7">
        <v>98</v>
      </c>
      <c r="E16" s="8" t="s">
        <v>50</v>
      </c>
      <c r="F16" s="7" t="s">
        <v>85</v>
      </c>
      <c r="G16" s="8" t="s">
        <v>86</v>
      </c>
      <c r="H16" s="7" t="str">
        <f>"000064"</f>
        <v>000064</v>
      </c>
      <c r="I16" s="6">
        <v>43509</v>
      </c>
      <c r="J16" s="7" t="str">
        <f>"000074"</f>
        <v>000074</v>
      </c>
      <c r="K16" s="6">
        <v>43525</v>
      </c>
      <c r="L16" s="7" t="str">
        <f>"000174"</f>
        <v>000174</v>
      </c>
      <c r="M16" s="6">
        <v>43532</v>
      </c>
      <c r="N16" s="7">
        <v>18</v>
      </c>
      <c r="O16" s="7" t="str">
        <f>"001237"</f>
        <v>001237</v>
      </c>
      <c r="P16" s="6">
        <v>43585</v>
      </c>
      <c r="Q16" s="9">
        <v>47.765320000000003</v>
      </c>
      <c r="R16" s="9">
        <v>5.1299799999999998</v>
      </c>
      <c r="S16" s="9">
        <v>42.635339999999999</v>
      </c>
      <c r="T16" s="7">
        <v>35</v>
      </c>
      <c r="U16" s="6">
        <v>43591</v>
      </c>
      <c r="V16" s="7">
        <v>9945867208</v>
      </c>
      <c r="W16" s="8" t="s">
        <v>84</v>
      </c>
      <c r="X16" s="7" t="s">
        <v>41</v>
      </c>
      <c r="Y16" s="8" t="s">
        <v>42</v>
      </c>
      <c r="Z16" s="7" t="s">
        <v>47</v>
      </c>
      <c r="AA16" s="8" t="s">
        <v>48</v>
      </c>
      <c r="AB16" s="9">
        <f t="shared" si="0"/>
        <v>0.4776532</v>
      </c>
    </row>
    <row r="17" spans="1:28" x14ac:dyDescent="0.35">
      <c r="A17" s="4">
        <v>3292</v>
      </c>
      <c r="B17" s="5" t="s">
        <v>32</v>
      </c>
      <c r="C17" s="6">
        <v>43591</v>
      </c>
      <c r="D17" s="7">
        <v>98</v>
      </c>
      <c r="E17" s="8" t="s">
        <v>50</v>
      </c>
      <c r="F17" s="7" t="s">
        <v>87</v>
      </c>
      <c r="G17" s="8" t="s">
        <v>88</v>
      </c>
      <c r="H17" s="7" t="str">
        <f>"000048"</f>
        <v>000048</v>
      </c>
      <c r="I17" s="6">
        <v>41802</v>
      </c>
      <c r="J17" s="7" t="str">
        <f>"000061"</f>
        <v>000061</v>
      </c>
      <c r="K17" s="6">
        <v>42576</v>
      </c>
      <c r="L17" s="7" t="str">
        <f>"000333"</f>
        <v>000333</v>
      </c>
      <c r="M17" s="6">
        <v>42613</v>
      </c>
      <c r="N17" s="7">
        <v>14</v>
      </c>
      <c r="O17" s="7" t="str">
        <f>"001248"</f>
        <v>001248</v>
      </c>
      <c r="P17" s="6">
        <v>43587</v>
      </c>
      <c r="Q17" s="9">
        <v>18.533300000000001</v>
      </c>
      <c r="R17" s="9">
        <v>2.7467899999999998</v>
      </c>
      <c r="S17" s="9">
        <v>15.78651</v>
      </c>
      <c r="T17" s="7">
        <v>39</v>
      </c>
      <c r="U17" s="6">
        <v>43591</v>
      </c>
      <c r="V17" s="7">
        <v>9449863068</v>
      </c>
      <c r="W17" s="8" t="s">
        <v>89</v>
      </c>
      <c r="X17" s="7" t="s">
        <v>45</v>
      </c>
      <c r="Y17" s="8" t="s">
        <v>46</v>
      </c>
      <c r="Z17" s="7" t="s">
        <v>47</v>
      </c>
      <c r="AA17" s="8" t="s">
        <v>48</v>
      </c>
      <c r="AB17" s="9">
        <f t="shared" si="0"/>
        <v>0.185333</v>
      </c>
    </row>
    <row r="18" spans="1:28" x14ac:dyDescent="0.35">
      <c r="A18" s="4">
        <v>3293</v>
      </c>
      <c r="B18" s="5" t="s">
        <v>32</v>
      </c>
      <c r="C18" s="6">
        <v>43598</v>
      </c>
      <c r="D18" s="7">
        <v>98</v>
      </c>
      <c r="E18" s="8" t="s">
        <v>50</v>
      </c>
      <c r="F18" s="7" t="s">
        <v>77</v>
      </c>
      <c r="G18" s="8" t="s">
        <v>78</v>
      </c>
      <c r="H18" s="7" t="str">
        <f>"000107"</f>
        <v>000107</v>
      </c>
      <c r="I18" s="6">
        <v>43461</v>
      </c>
      <c r="J18" s="7" t="str">
        <f>"000001"</f>
        <v>000001</v>
      </c>
      <c r="K18" s="6">
        <v>43560</v>
      </c>
      <c r="L18" s="7" t="str">
        <f>"000002"</f>
        <v>000002</v>
      </c>
      <c r="M18" s="6">
        <v>43560</v>
      </c>
      <c r="N18" s="7">
        <v>17</v>
      </c>
      <c r="O18" s="7" t="str">
        <f>"001431"</f>
        <v>001431</v>
      </c>
      <c r="P18" s="6">
        <v>43595</v>
      </c>
      <c r="Q18" s="9">
        <v>29.99616</v>
      </c>
      <c r="R18" s="9">
        <v>3.71523</v>
      </c>
      <c r="S18" s="9">
        <v>26.280930000000001</v>
      </c>
      <c r="T18" s="7">
        <v>41</v>
      </c>
      <c r="U18" s="6">
        <v>43598</v>
      </c>
      <c r="V18" s="7">
        <v>9945535033</v>
      </c>
      <c r="W18" s="8" t="s">
        <v>79</v>
      </c>
      <c r="X18" s="7" t="s">
        <v>33</v>
      </c>
      <c r="Y18" s="8" t="s">
        <v>34</v>
      </c>
      <c r="Z18" s="7" t="s">
        <v>35</v>
      </c>
      <c r="AA18" s="8" t="s">
        <v>36</v>
      </c>
      <c r="AB18" s="9">
        <f t="shared" si="0"/>
        <v>0.29996159999999999</v>
      </c>
    </row>
    <row r="19" spans="1:28" x14ac:dyDescent="0.35">
      <c r="A19" s="4">
        <v>3294</v>
      </c>
      <c r="B19" s="5" t="s">
        <v>32</v>
      </c>
      <c r="C19" s="6">
        <v>43603</v>
      </c>
      <c r="D19" s="7">
        <v>98</v>
      </c>
      <c r="E19" s="8" t="s">
        <v>50</v>
      </c>
      <c r="F19" s="7" t="s">
        <v>90</v>
      </c>
      <c r="G19" s="8" t="s">
        <v>91</v>
      </c>
      <c r="H19" s="7" t="str">
        <f>"000088"</f>
        <v>000088</v>
      </c>
      <c r="I19" s="6">
        <v>42963</v>
      </c>
      <c r="J19" s="7" t="str">
        <f>"000072"</f>
        <v>000072</v>
      </c>
      <c r="K19" s="6">
        <v>43019</v>
      </c>
      <c r="L19" s="7" t="str">
        <f>"000406"</f>
        <v>000406</v>
      </c>
      <c r="M19" s="6">
        <v>43021</v>
      </c>
      <c r="N19" s="7">
        <v>17</v>
      </c>
      <c r="O19" s="7" t="str">
        <f>"001689"</f>
        <v>001689</v>
      </c>
      <c r="P19" s="6">
        <v>43602</v>
      </c>
      <c r="Q19" s="9">
        <v>18.292069999999999</v>
      </c>
      <c r="R19" s="9">
        <v>2.2735099999999999</v>
      </c>
      <c r="S19" s="9">
        <v>16.018560000000001</v>
      </c>
      <c r="T19" s="7">
        <v>50</v>
      </c>
      <c r="U19" s="6">
        <v>43603</v>
      </c>
      <c r="V19" s="7">
        <v>9972523639</v>
      </c>
      <c r="W19" s="8" t="s">
        <v>92</v>
      </c>
      <c r="X19" s="7" t="s">
        <v>30</v>
      </c>
      <c r="Y19" s="8" t="s">
        <v>31</v>
      </c>
      <c r="Z19" s="7" t="s">
        <v>47</v>
      </c>
      <c r="AA19" s="8" t="s">
        <v>48</v>
      </c>
      <c r="AB19" s="9">
        <f t="shared" si="0"/>
        <v>0.18292069999999999</v>
      </c>
    </row>
    <row r="20" spans="1:28" x14ac:dyDescent="0.35">
      <c r="A20" s="4">
        <v>3295</v>
      </c>
      <c r="B20" s="5" t="s">
        <v>32</v>
      </c>
      <c r="C20" s="6">
        <v>43603</v>
      </c>
      <c r="D20" s="7">
        <v>98</v>
      </c>
      <c r="E20" s="8" t="s">
        <v>50</v>
      </c>
      <c r="F20" s="7" t="s">
        <v>93</v>
      </c>
      <c r="G20" s="8" t="s">
        <v>94</v>
      </c>
      <c r="H20" s="7" t="str">
        <f>"000087"</f>
        <v>000087</v>
      </c>
      <c r="I20" s="6">
        <v>42963</v>
      </c>
      <c r="J20" s="7" t="str">
        <f>"000071"</f>
        <v>000071</v>
      </c>
      <c r="K20" s="6">
        <v>43019</v>
      </c>
      <c r="L20" s="7" t="str">
        <f>"000407"</f>
        <v>000407</v>
      </c>
      <c r="M20" s="6">
        <v>43021</v>
      </c>
      <c r="N20" s="7">
        <v>17</v>
      </c>
      <c r="O20" s="7" t="str">
        <f>"001690"</f>
        <v>001690</v>
      </c>
      <c r="P20" s="6">
        <v>43602</v>
      </c>
      <c r="Q20" s="9">
        <v>18.17587</v>
      </c>
      <c r="R20" s="9">
        <v>2.2590599999999998</v>
      </c>
      <c r="S20" s="9">
        <v>15.91681</v>
      </c>
      <c r="T20" s="7">
        <v>50</v>
      </c>
      <c r="U20" s="6">
        <v>43603</v>
      </c>
      <c r="V20" s="7">
        <v>9972523639</v>
      </c>
      <c r="W20" s="8" t="s">
        <v>92</v>
      </c>
      <c r="X20" s="7" t="s">
        <v>30</v>
      </c>
      <c r="Y20" s="8" t="s">
        <v>31</v>
      </c>
      <c r="Z20" s="7" t="s">
        <v>47</v>
      </c>
      <c r="AA20" s="8" t="s">
        <v>48</v>
      </c>
      <c r="AB20" s="9">
        <f t="shared" si="0"/>
        <v>0.1817587</v>
      </c>
    </row>
    <row r="21" spans="1:28" x14ac:dyDescent="0.35">
      <c r="A21" s="4">
        <v>3296</v>
      </c>
      <c r="B21" s="5" t="s">
        <v>32</v>
      </c>
      <c r="C21" s="6">
        <v>43603</v>
      </c>
      <c r="D21" s="7">
        <v>98</v>
      </c>
      <c r="E21" s="8" t="s">
        <v>50</v>
      </c>
      <c r="F21" s="7" t="s">
        <v>95</v>
      </c>
      <c r="G21" s="8" t="s">
        <v>96</v>
      </c>
      <c r="H21" s="7" t="str">
        <f>"000234"</f>
        <v>000234</v>
      </c>
      <c r="I21" s="6">
        <v>41702</v>
      </c>
      <c r="J21" s="7" t="str">
        <f>"000062"</f>
        <v>000062</v>
      </c>
      <c r="K21" s="6">
        <v>42576</v>
      </c>
      <c r="L21" s="7" t="str">
        <f>"000337"</f>
        <v>000337</v>
      </c>
      <c r="M21" s="6">
        <v>42613</v>
      </c>
      <c r="N21" s="7">
        <v>14</v>
      </c>
      <c r="O21" s="7" t="str">
        <f>"001755"</f>
        <v>001755</v>
      </c>
      <c r="P21" s="6">
        <v>43602</v>
      </c>
      <c r="Q21" s="9">
        <v>11.0314</v>
      </c>
      <c r="R21" s="9">
        <v>1.3878699999999999</v>
      </c>
      <c r="S21" s="9">
        <v>9.6435300000000002</v>
      </c>
      <c r="T21" s="7">
        <v>52</v>
      </c>
      <c r="U21" s="6">
        <v>43603</v>
      </c>
      <c r="V21" s="7">
        <v>9945555877</v>
      </c>
      <c r="W21" s="8" t="s">
        <v>97</v>
      </c>
      <c r="X21" s="7" t="s">
        <v>30</v>
      </c>
      <c r="Y21" s="8" t="s">
        <v>31</v>
      </c>
      <c r="Z21" s="7" t="s">
        <v>47</v>
      </c>
      <c r="AA21" s="8" t="s">
        <v>48</v>
      </c>
      <c r="AB21" s="9">
        <f t="shared" si="0"/>
        <v>0.110314</v>
      </c>
    </row>
    <row r="22" spans="1:28" x14ac:dyDescent="0.35">
      <c r="A22" s="4">
        <v>3297</v>
      </c>
      <c r="B22" s="5" t="s">
        <v>32</v>
      </c>
      <c r="C22" s="6">
        <v>43609</v>
      </c>
      <c r="D22" s="7">
        <v>98</v>
      </c>
      <c r="E22" s="8" t="s">
        <v>50</v>
      </c>
      <c r="F22" s="7" t="s">
        <v>98</v>
      </c>
      <c r="G22" s="8" t="s">
        <v>99</v>
      </c>
      <c r="H22" s="7" t="str">
        <f>"000135"</f>
        <v>000135</v>
      </c>
      <c r="I22" s="6">
        <v>42520</v>
      </c>
      <c r="J22" s="7" t="str">
        <f>"000080"</f>
        <v>000080</v>
      </c>
      <c r="K22" s="6">
        <v>43035</v>
      </c>
      <c r="L22" s="7" t="str">
        <f>"000431"</f>
        <v>000431</v>
      </c>
      <c r="M22" s="6">
        <v>43036</v>
      </c>
      <c r="N22" s="7">
        <v>16</v>
      </c>
      <c r="O22" s="7" t="str">
        <f>"001901"</f>
        <v>001901</v>
      </c>
      <c r="P22" s="6">
        <v>43607</v>
      </c>
      <c r="Q22" s="9">
        <v>13.147</v>
      </c>
      <c r="R22" s="9">
        <v>1.5804800000000001</v>
      </c>
      <c r="S22" s="9">
        <v>11.566520000000001</v>
      </c>
      <c r="T22" s="7">
        <v>57</v>
      </c>
      <c r="U22" s="6">
        <v>43609</v>
      </c>
      <c r="V22" s="7">
        <v>9972523639</v>
      </c>
      <c r="W22" s="8" t="s">
        <v>100</v>
      </c>
      <c r="X22" s="7" t="s">
        <v>30</v>
      </c>
      <c r="Y22" s="8" t="s">
        <v>31</v>
      </c>
      <c r="Z22" s="7" t="s">
        <v>47</v>
      </c>
      <c r="AA22" s="8" t="s">
        <v>48</v>
      </c>
      <c r="AB22" s="9">
        <f t="shared" si="0"/>
        <v>0.13147</v>
      </c>
    </row>
    <row r="23" spans="1:28" x14ac:dyDescent="0.35">
      <c r="A23" s="4">
        <v>3298</v>
      </c>
      <c r="B23" s="5" t="s">
        <v>32</v>
      </c>
      <c r="C23" s="6">
        <v>43615</v>
      </c>
      <c r="D23" s="7">
        <v>98</v>
      </c>
      <c r="E23" s="8" t="s">
        <v>50</v>
      </c>
      <c r="F23" s="7" t="s">
        <v>101</v>
      </c>
      <c r="G23" s="8" t="s">
        <v>102</v>
      </c>
      <c r="H23" s="7" t="str">
        <f>"000100"</f>
        <v>000100</v>
      </c>
      <c r="I23" s="6">
        <v>42986</v>
      </c>
      <c r="J23" s="7" t="str">
        <f>"000096"</f>
        <v>000096</v>
      </c>
      <c r="K23" s="6">
        <v>43068</v>
      </c>
      <c r="L23" s="7" t="str">
        <f>"000477"</f>
        <v>000477</v>
      </c>
      <c r="M23" s="6">
        <v>43069</v>
      </c>
      <c r="N23" s="7">
        <v>17</v>
      </c>
      <c r="O23" s="7" t="str">
        <f>"002233"</f>
        <v>002233</v>
      </c>
      <c r="P23" s="6">
        <v>43613</v>
      </c>
      <c r="Q23" s="9">
        <v>18.818960000000001</v>
      </c>
      <c r="R23" s="9">
        <v>2.2285900000000001</v>
      </c>
      <c r="S23" s="9">
        <v>16.59037</v>
      </c>
      <c r="T23" s="7">
        <v>65</v>
      </c>
      <c r="U23" s="6">
        <v>43615</v>
      </c>
      <c r="V23" s="7">
        <v>9731169150</v>
      </c>
      <c r="W23" s="8" t="s">
        <v>103</v>
      </c>
      <c r="X23" s="7" t="s">
        <v>30</v>
      </c>
      <c r="Y23" s="8" t="s">
        <v>31</v>
      </c>
      <c r="Z23" s="7" t="s">
        <v>47</v>
      </c>
      <c r="AA23" s="8" t="s">
        <v>48</v>
      </c>
      <c r="AB23" s="9">
        <f t="shared" si="0"/>
        <v>0.18818960000000001</v>
      </c>
    </row>
    <row r="24" spans="1:28" x14ac:dyDescent="0.35">
      <c r="A24" s="4">
        <v>3299</v>
      </c>
      <c r="B24" s="5" t="s">
        <v>32</v>
      </c>
      <c r="C24" s="6">
        <v>43615</v>
      </c>
      <c r="D24" s="7">
        <v>98</v>
      </c>
      <c r="E24" s="8" t="s">
        <v>50</v>
      </c>
      <c r="F24" s="7" t="s">
        <v>104</v>
      </c>
      <c r="G24" s="8" t="s">
        <v>105</v>
      </c>
      <c r="H24" s="7" t="str">
        <f>"000099"</f>
        <v>000099</v>
      </c>
      <c r="I24" s="6">
        <v>42986</v>
      </c>
      <c r="J24" s="7" t="str">
        <f>"000095"</f>
        <v>000095</v>
      </c>
      <c r="K24" s="6">
        <v>43068</v>
      </c>
      <c r="L24" s="7" t="str">
        <f>"000478"</f>
        <v>000478</v>
      </c>
      <c r="M24" s="6">
        <v>43069</v>
      </c>
      <c r="N24" s="7">
        <v>17</v>
      </c>
      <c r="O24" s="7" t="str">
        <f>"002234"</f>
        <v>002234</v>
      </c>
      <c r="P24" s="6">
        <v>43613</v>
      </c>
      <c r="Q24" s="9">
        <v>18.633030000000002</v>
      </c>
      <c r="R24" s="9">
        <v>2.20729</v>
      </c>
      <c r="S24" s="9">
        <v>16.425740000000001</v>
      </c>
      <c r="T24" s="7">
        <v>65</v>
      </c>
      <c r="U24" s="6">
        <v>43615</v>
      </c>
      <c r="V24" s="7">
        <v>9731169150</v>
      </c>
      <c r="W24" s="8" t="s">
        <v>106</v>
      </c>
      <c r="X24" s="7" t="s">
        <v>30</v>
      </c>
      <c r="Y24" s="8" t="s">
        <v>31</v>
      </c>
      <c r="Z24" s="7" t="s">
        <v>47</v>
      </c>
      <c r="AA24" s="8" t="s">
        <v>48</v>
      </c>
      <c r="AB24" s="9">
        <f t="shared" si="0"/>
        <v>0.1863303</v>
      </c>
    </row>
    <row r="25" spans="1:28" x14ac:dyDescent="0.35">
      <c r="A25" s="4">
        <v>3300</v>
      </c>
      <c r="B25" s="5" t="s">
        <v>29</v>
      </c>
      <c r="C25" s="6">
        <v>43617</v>
      </c>
      <c r="D25" s="7">
        <v>98</v>
      </c>
      <c r="E25" s="8" t="s">
        <v>50</v>
      </c>
      <c r="F25" s="7" t="s">
        <v>107</v>
      </c>
      <c r="G25" s="8" t="s">
        <v>108</v>
      </c>
      <c r="H25" s="7" t="str">
        <f>"000103"</f>
        <v>000103</v>
      </c>
      <c r="I25" s="6">
        <v>43129</v>
      </c>
      <c r="J25" s="7" t="str">
        <f>"000124"</f>
        <v>000124</v>
      </c>
      <c r="K25" s="6">
        <v>43183</v>
      </c>
      <c r="L25" s="7" t="str">
        <f>"000152"</f>
        <v>000152</v>
      </c>
      <c r="M25" s="6">
        <v>43183</v>
      </c>
      <c r="N25" s="7">
        <v>18</v>
      </c>
      <c r="O25" s="7" t="str">
        <f>"002266"</f>
        <v>002266</v>
      </c>
      <c r="P25" s="6">
        <v>43614</v>
      </c>
      <c r="Q25" s="9">
        <v>49.987050000000004</v>
      </c>
      <c r="R25" s="9">
        <v>5.2987700000000002</v>
      </c>
      <c r="S25" s="9">
        <v>44.688279999999999</v>
      </c>
      <c r="T25" s="7">
        <v>69</v>
      </c>
      <c r="U25" s="6">
        <v>43617</v>
      </c>
      <c r="V25" s="7">
        <v>9448016630</v>
      </c>
      <c r="W25" s="8" t="s">
        <v>109</v>
      </c>
      <c r="X25" s="7" t="s">
        <v>33</v>
      </c>
      <c r="Y25" s="8" t="s">
        <v>34</v>
      </c>
      <c r="Z25" s="7" t="s">
        <v>35</v>
      </c>
      <c r="AA25" s="8" t="s">
        <v>36</v>
      </c>
      <c r="AB25" s="9">
        <v>0.49987050000000005</v>
      </c>
    </row>
    <row r="26" spans="1:28" x14ac:dyDescent="0.35">
      <c r="A26" s="4">
        <v>3301</v>
      </c>
      <c r="B26" s="5" t="s">
        <v>29</v>
      </c>
      <c r="C26" s="6">
        <v>43617</v>
      </c>
      <c r="D26" s="7">
        <v>98</v>
      </c>
      <c r="E26" s="8" t="s">
        <v>50</v>
      </c>
      <c r="F26" s="7" t="s">
        <v>110</v>
      </c>
      <c r="G26" s="8" t="s">
        <v>111</v>
      </c>
      <c r="H26" s="7" t="str">
        <f>"000104"</f>
        <v>000104</v>
      </c>
      <c r="I26" s="6">
        <v>43129</v>
      </c>
      <c r="J26" s="7" t="str">
        <f>"000121"</f>
        <v>000121</v>
      </c>
      <c r="K26" s="6">
        <v>43409</v>
      </c>
      <c r="L26" s="7" t="str">
        <f>"000119"</f>
        <v>000119</v>
      </c>
      <c r="M26" s="6">
        <v>43409</v>
      </c>
      <c r="N26" s="7">
        <v>18</v>
      </c>
      <c r="O26" s="7" t="str">
        <f>"002267"</f>
        <v>002267</v>
      </c>
      <c r="P26" s="6">
        <v>43614</v>
      </c>
      <c r="Q26" s="9">
        <v>24.993980000000001</v>
      </c>
      <c r="R26" s="9">
        <v>3.1492499999999999</v>
      </c>
      <c r="S26" s="9">
        <v>21.844729999999998</v>
      </c>
      <c r="T26" s="7">
        <v>69</v>
      </c>
      <c r="U26" s="6">
        <v>43617</v>
      </c>
      <c r="V26" s="7">
        <v>9448016630</v>
      </c>
      <c r="W26" s="8" t="s">
        <v>109</v>
      </c>
      <c r="X26" s="7" t="s">
        <v>33</v>
      </c>
      <c r="Y26" s="8" t="s">
        <v>34</v>
      </c>
      <c r="Z26" s="7" t="s">
        <v>35</v>
      </c>
      <c r="AA26" s="8" t="s">
        <v>36</v>
      </c>
      <c r="AB26" s="9">
        <v>0.24993980000000002</v>
      </c>
    </row>
    <row r="27" spans="1:28" x14ac:dyDescent="0.35">
      <c r="A27" s="4">
        <v>3302</v>
      </c>
      <c r="B27" s="5" t="s">
        <v>29</v>
      </c>
      <c r="C27" s="6">
        <v>43617</v>
      </c>
      <c r="D27" s="7">
        <v>98</v>
      </c>
      <c r="E27" s="8" t="s">
        <v>50</v>
      </c>
      <c r="F27" s="7" t="s">
        <v>112</v>
      </c>
      <c r="G27" s="8" t="s">
        <v>113</v>
      </c>
      <c r="H27" s="7" t="str">
        <f>"000019"</f>
        <v>000019</v>
      </c>
      <c r="I27" s="6">
        <v>43355</v>
      </c>
      <c r="J27" s="7" t="str">
        <f>"000057"</f>
        <v>000057</v>
      </c>
      <c r="K27" s="6">
        <v>43449</v>
      </c>
      <c r="L27" s="7" t="str">
        <f>"000146"</f>
        <v>000146</v>
      </c>
      <c r="M27" s="6">
        <v>43483</v>
      </c>
      <c r="N27" s="7">
        <v>18</v>
      </c>
      <c r="O27" s="7" t="str">
        <f>"002268"</f>
        <v>002268</v>
      </c>
      <c r="P27" s="6">
        <v>43614</v>
      </c>
      <c r="Q27" s="9">
        <v>39.703499999999998</v>
      </c>
      <c r="R27" s="9">
        <v>5.1284400000000003</v>
      </c>
      <c r="S27" s="9">
        <v>34.575060000000001</v>
      </c>
      <c r="T27" s="7">
        <v>69</v>
      </c>
      <c r="U27" s="6">
        <v>43617</v>
      </c>
      <c r="V27" s="7">
        <v>9449863068</v>
      </c>
      <c r="W27" s="8" t="s">
        <v>49</v>
      </c>
      <c r="X27" s="7" t="s">
        <v>33</v>
      </c>
      <c r="Y27" s="8" t="s">
        <v>34</v>
      </c>
      <c r="Z27" s="7" t="s">
        <v>47</v>
      </c>
      <c r="AA27" s="8" t="s">
        <v>48</v>
      </c>
      <c r="AB27" s="9">
        <v>0.39703499999999997</v>
      </c>
    </row>
    <row r="28" spans="1:28" x14ac:dyDescent="0.35">
      <c r="A28" s="4">
        <v>3303</v>
      </c>
      <c r="B28" s="5" t="s">
        <v>29</v>
      </c>
      <c r="C28" s="6">
        <v>43628</v>
      </c>
      <c r="D28" s="7">
        <v>98</v>
      </c>
      <c r="E28" s="8" t="s">
        <v>50</v>
      </c>
      <c r="F28" s="7" t="s">
        <v>114</v>
      </c>
      <c r="G28" s="8" t="s">
        <v>115</v>
      </c>
      <c r="H28" s="7" t="str">
        <f>"000044"</f>
        <v>000044</v>
      </c>
      <c r="I28" s="6">
        <v>43463</v>
      </c>
      <c r="J28" s="7" t="str">
        <f>"000193"</f>
        <v>000193</v>
      </c>
      <c r="K28" s="6">
        <v>43551</v>
      </c>
      <c r="L28" s="7" t="str">
        <f>"000195"</f>
        <v>000195</v>
      </c>
      <c r="M28" s="6">
        <v>43551</v>
      </c>
      <c r="N28" s="7">
        <v>18</v>
      </c>
      <c r="O28" s="7" t="str">
        <f>"002505"</f>
        <v>002505</v>
      </c>
      <c r="P28" s="6">
        <v>43622</v>
      </c>
      <c r="Q28" s="9">
        <v>44.668570000000003</v>
      </c>
      <c r="R28" s="9">
        <v>5.0843499999999997</v>
      </c>
      <c r="S28" s="9">
        <v>39.584220000000002</v>
      </c>
      <c r="T28" s="7">
        <v>78</v>
      </c>
      <c r="U28" s="6">
        <v>43628</v>
      </c>
      <c r="V28" s="7">
        <v>9482150029</v>
      </c>
      <c r="W28" s="8" t="s">
        <v>116</v>
      </c>
      <c r="X28" s="7" t="s">
        <v>33</v>
      </c>
      <c r="Y28" s="8" t="s">
        <v>34</v>
      </c>
      <c r="Z28" s="7" t="s">
        <v>43</v>
      </c>
      <c r="AA28" s="8" t="s">
        <v>44</v>
      </c>
      <c r="AB28" s="9">
        <v>0.44668570000000002</v>
      </c>
    </row>
    <row r="29" spans="1:28" x14ac:dyDescent="0.35">
      <c r="A29" s="4">
        <v>3304</v>
      </c>
      <c r="B29" s="5" t="s">
        <v>29</v>
      </c>
      <c r="C29" s="6">
        <v>43633</v>
      </c>
      <c r="D29" s="7">
        <v>98</v>
      </c>
      <c r="E29" s="8" t="s">
        <v>50</v>
      </c>
      <c r="F29" s="7" t="s">
        <v>117</v>
      </c>
      <c r="G29" s="8" t="s">
        <v>118</v>
      </c>
      <c r="H29" s="7" t="str">
        <f>"000130"</f>
        <v>000130</v>
      </c>
      <c r="I29" s="6">
        <v>43504</v>
      </c>
      <c r="J29" s="7" t="str">
        <f>"000007"</f>
        <v>000007</v>
      </c>
      <c r="K29" s="6">
        <v>43599</v>
      </c>
      <c r="L29" s="7" t="str">
        <f>"000008"</f>
        <v>000008</v>
      </c>
      <c r="M29" s="6">
        <v>43599</v>
      </c>
      <c r="N29" s="7">
        <v>18</v>
      </c>
      <c r="O29" s="7" t="str">
        <f>"002695"</f>
        <v>002695</v>
      </c>
      <c r="P29" s="6">
        <v>43629</v>
      </c>
      <c r="Q29" s="9">
        <v>97.045519999999996</v>
      </c>
      <c r="R29" s="9">
        <v>12.021380000000001</v>
      </c>
      <c r="S29" s="9">
        <v>85.024140000000003</v>
      </c>
      <c r="T29" s="7">
        <v>83</v>
      </c>
      <c r="U29" s="6">
        <v>43633</v>
      </c>
      <c r="V29" s="7">
        <v>9448748302</v>
      </c>
      <c r="W29" s="8" t="s">
        <v>79</v>
      </c>
      <c r="X29" s="7" t="s">
        <v>33</v>
      </c>
      <c r="Y29" s="8" t="s">
        <v>34</v>
      </c>
      <c r="Z29" s="7" t="s">
        <v>35</v>
      </c>
      <c r="AA29" s="8" t="s">
        <v>36</v>
      </c>
      <c r="AB29" s="9">
        <v>0.97045519999999996</v>
      </c>
    </row>
    <row r="30" spans="1:28" x14ac:dyDescent="0.35">
      <c r="A30" s="4">
        <v>3305</v>
      </c>
      <c r="B30" s="5" t="s">
        <v>29</v>
      </c>
      <c r="C30" s="6">
        <v>43641</v>
      </c>
      <c r="D30" s="7">
        <v>98</v>
      </c>
      <c r="E30" s="8" t="s">
        <v>50</v>
      </c>
      <c r="F30" s="7" t="s">
        <v>119</v>
      </c>
      <c r="G30" s="8" t="s">
        <v>120</v>
      </c>
      <c r="H30" s="7" t="str">
        <f>"000057"</f>
        <v>000057</v>
      </c>
      <c r="I30" s="6">
        <v>43494</v>
      </c>
      <c r="J30" s="7" t="str">
        <f>"000012"</f>
        <v>000012</v>
      </c>
      <c r="K30" s="6">
        <v>43602</v>
      </c>
      <c r="L30" s="7" t="str">
        <f>"000021"</f>
        <v>000021</v>
      </c>
      <c r="M30" s="6">
        <v>43605</v>
      </c>
      <c r="N30" s="7">
        <v>18</v>
      </c>
      <c r="O30" s="7" t="str">
        <f>"002830"</f>
        <v>002830</v>
      </c>
      <c r="P30" s="6">
        <v>43635</v>
      </c>
      <c r="Q30" s="9">
        <v>34.921680000000002</v>
      </c>
      <c r="R30" s="9">
        <v>3.8354200000000001</v>
      </c>
      <c r="S30" s="9">
        <v>31.086259999999999</v>
      </c>
      <c r="T30" s="7">
        <v>93</v>
      </c>
      <c r="U30" s="6">
        <v>43641</v>
      </c>
      <c r="V30" s="7">
        <v>9945867208</v>
      </c>
      <c r="W30" s="8" t="s">
        <v>84</v>
      </c>
      <c r="X30" s="7" t="s">
        <v>33</v>
      </c>
      <c r="Y30" s="8" t="s">
        <v>34</v>
      </c>
      <c r="Z30" s="7" t="s">
        <v>47</v>
      </c>
      <c r="AA30" s="8" t="s">
        <v>48</v>
      </c>
      <c r="AB30" s="9">
        <v>0.34921679999999999</v>
      </c>
    </row>
    <row r="31" spans="1:28" x14ac:dyDescent="0.35">
      <c r="A31" s="4">
        <v>3306</v>
      </c>
      <c r="B31" s="5" t="s">
        <v>29</v>
      </c>
      <c r="C31" s="6">
        <v>43641</v>
      </c>
      <c r="D31" s="7">
        <v>98</v>
      </c>
      <c r="E31" s="8" t="s">
        <v>50</v>
      </c>
      <c r="F31" s="7" t="s">
        <v>121</v>
      </c>
      <c r="G31" s="8" t="s">
        <v>122</v>
      </c>
      <c r="H31" s="7" t="str">
        <f>"000048"</f>
        <v>000048</v>
      </c>
      <c r="I31" s="6">
        <v>43484</v>
      </c>
      <c r="J31" s="7" t="str">
        <f>"000011"</f>
        <v>000011</v>
      </c>
      <c r="K31" s="6">
        <v>43602</v>
      </c>
      <c r="L31" s="7" t="str">
        <f>"000022"</f>
        <v>000022</v>
      </c>
      <c r="M31" s="6">
        <v>43605</v>
      </c>
      <c r="N31" s="7">
        <v>17</v>
      </c>
      <c r="O31" s="7" t="str">
        <f>"002831"</f>
        <v>002831</v>
      </c>
      <c r="P31" s="6">
        <v>43635</v>
      </c>
      <c r="Q31" s="9">
        <v>49.973999999999997</v>
      </c>
      <c r="R31" s="9">
        <v>5.45716</v>
      </c>
      <c r="S31" s="9">
        <v>44.516840000000002</v>
      </c>
      <c r="T31" s="7">
        <v>93</v>
      </c>
      <c r="U31" s="6">
        <v>43641</v>
      </c>
      <c r="V31" s="7">
        <v>9945867208</v>
      </c>
      <c r="W31" s="8" t="s">
        <v>84</v>
      </c>
      <c r="X31" s="7" t="s">
        <v>33</v>
      </c>
      <c r="Y31" s="8" t="s">
        <v>34</v>
      </c>
      <c r="Z31" s="7" t="s">
        <v>47</v>
      </c>
      <c r="AA31" s="8" t="s">
        <v>48</v>
      </c>
      <c r="AB31" s="9">
        <v>0.49973999999999996</v>
      </c>
    </row>
    <row r="32" spans="1:28" x14ac:dyDescent="0.35">
      <c r="A32" s="4">
        <v>3307</v>
      </c>
      <c r="B32" s="5" t="s">
        <v>29</v>
      </c>
      <c r="C32" s="6">
        <v>43641</v>
      </c>
      <c r="D32" s="7">
        <v>98</v>
      </c>
      <c r="E32" s="8" t="s">
        <v>50</v>
      </c>
      <c r="F32" s="7" t="s">
        <v>123</v>
      </c>
      <c r="G32" s="8" t="s">
        <v>124</v>
      </c>
      <c r="H32" s="7" t="str">
        <f>"000255"</f>
        <v>000255</v>
      </c>
      <c r="I32" s="6">
        <v>43214</v>
      </c>
      <c r="J32" s="7" t="str">
        <f>"000059"</f>
        <v>000059</v>
      </c>
      <c r="K32" s="6">
        <v>43449</v>
      </c>
      <c r="L32" s="7" t="str">
        <f>"000147"</f>
        <v>000147</v>
      </c>
      <c r="M32" s="6">
        <v>43483</v>
      </c>
      <c r="N32" s="7">
        <v>17</v>
      </c>
      <c r="O32" s="7" t="str">
        <f>"002932"</f>
        <v>002932</v>
      </c>
      <c r="P32" s="6">
        <v>43637</v>
      </c>
      <c r="Q32" s="9">
        <v>15.846</v>
      </c>
      <c r="R32" s="9">
        <v>2.9849000000000001</v>
      </c>
      <c r="S32" s="9">
        <v>12.8611</v>
      </c>
      <c r="T32" s="7">
        <v>93</v>
      </c>
      <c r="U32" s="6">
        <v>43641</v>
      </c>
      <c r="V32" s="7">
        <v>9449863068</v>
      </c>
      <c r="W32" s="8" t="s">
        <v>49</v>
      </c>
      <c r="X32" s="7" t="s">
        <v>33</v>
      </c>
      <c r="Y32" s="8" t="s">
        <v>34</v>
      </c>
      <c r="Z32" s="7" t="s">
        <v>47</v>
      </c>
      <c r="AA32" s="8" t="s">
        <v>48</v>
      </c>
      <c r="AB32" s="9">
        <v>0.15845999999999999</v>
      </c>
    </row>
    <row r="33" spans="1:28" x14ac:dyDescent="0.35">
      <c r="A33" s="4">
        <v>3308</v>
      </c>
      <c r="B33" s="5" t="s">
        <v>125</v>
      </c>
      <c r="C33" s="6">
        <v>43648</v>
      </c>
      <c r="D33" s="7">
        <v>98</v>
      </c>
      <c r="E33" s="8" t="s">
        <v>50</v>
      </c>
      <c r="F33" s="7" t="s">
        <v>126</v>
      </c>
      <c r="G33" s="10" t="s">
        <v>127</v>
      </c>
      <c r="H33" s="7" t="str">
        <f>"000162"</f>
        <v>000162</v>
      </c>
      <c r="I33" s="6">
        <v>42754</v>
      </c>
      <c r="J33" s="7" t="str">
        <f>"000008"</f>
        <v>000008</v>
      </c>
      <c r="K33" s="6">
        <v>43258</v>
      </c>
      <c r="L33" s="7" t="str">
        <f>"000037"</f>
        <v>000037</v>
      </c>
      <c r="M33" s="6">
        <v>43285</v>
      </c>
      <c r="N33" s="7">
        <v>16</v>
      </c>
      <c r="O33" s="7" t="str">
        <f>"002903"</f>
        <v>002903</v>
      </c>
      <c r="P33" s="6">
        <v>43637</v>
      </c>
      <c r="Q33" s="11">
        <v>1.7087000000000001</v>
      </c>
      <c r="R33" s="11">
        <v>0.15473999999999999</v>
      </c>
      <c r="S33" s="11">
        <v>1.55396</v>
      </c>
      <c r="T33" s="7">
        <v>103</v>
      </c>
      <c r="U33" s="6">
        <v>43648</v>
      </c>
      <c r="V33" s="7">
        <v>9731169150</v>
      </c>
      <c r="W33" s="10" t="s">
        <v>128</v>
      </c>
      <c r="X33" s="7" t="s">
        <v>30</v>
      </c>
      <c r="Y33" s="10" t="s">
        <v>31</v>
      </c>
      <c r="Z33" s="7" t="s">
        <v>47</v>
      </c>
      <c r="AA33" s="10" t="s">
        <v>48</v>
      </c>
      <c r="AB33" s="11">
        <f t="shared" ref="AB33:AB58" si="1">Q33/100</f>
        <v>1.7087000000000001E-2</v>
      </c>
    </row>
    <row r="34" spans="1:28" x14ac:dyDescent="0.35">
      <c r="A34" s="4">
        <v>3309</v>
      </c>
      <c r="B34" s="5" t="s">
        <v>125</v>
      </c>
      <c r="C34" s="6">
        <v>43648</v>
      </c>
      <c r="D34" s="7">
        <v>98</v>
      </c>
      <c r="E34" s="8" t="s">
        <v>50</v>
      </c>
      <c r="F34" s="7" t="s">
        <v>129</v>
      </c>
      <c r="G34" s="10" t="s">
        <v>130</v>
      </c>
      <c r="H34" s="7" t="str">
        <f>"000152"</f>
        <v>000152</v>
      </c>
      <c r="I34" s="6">
        <v>42700</v>
      </c>
      <c r="J34" s="7" t="str">
        <f>"000007"</f>
        <v>000007</v>
      </c>
      <c r="K34" s="6">
        <v>43258</v>
      </c>
      <c r="L34" s="7" t="str">
        <f>"000038"</f>
        <v>000038</v>
      </c>
      <c r="M34" s="6">
        <v>43285</v>
      </c>
      <c r="N34" s="7">
        <v>16</v>
      </c>
      <c r="O34" s="7" t="str">
        <f>"002904"</f>
        <v>002904</v>
      </c>
      <c r="P34" s="6">
        <v>43637</v>
      </c>
      <c r="Q34" s="11">
        <v>1.7000999999999999</v>
      </c>
      <c r="R34" s="11">
        <v>0.1532</v>
      </c>
      <c r="S34" s="11">
        <v>1.5468999999999999</v>
      </c>
      <c r="T34" s="7">
        <v>103</v>
      </c>
      <c r="U34" s="6">
        <v>43648</v>
      </c>
      <c r="V34" s="7">
        <v>9731169150</v>
      </c>
      <c r="W34" s="10" t="s">
        <v>128</v>
      </c>
      <c r="X34" s="7" t="s">
        <v>30</v>
      </c>
      <c r="Y34" s="10" t="s">
        <v>31</v>
      </c>
      <c r="Z34" s="7" t="s">
        <v>47</v>
      </c>
      <c r="AA34" s="10" t="s">
        <v>48</v>
      </c>
      <c r="AB34" s="11">
        <f t="shared" si="1"/>
        <v>1.7000999999999999E-2</v>
      </c>
    </row>
    <row r="35" spans="1:28" x14ac:dyDescent="0.35">
      <c r="A35" s="4">
        <v>3310</v>
      </c>
      <c r="B35" s="5" t="s">
        <v>125</v>
      </c>
      <c r="C35" s="6">
        <v>43648</v>
      </c>
      <c r="D35" s="7">
        <v>98</v>
      </c>
      <c r="E35" s="8" t="s">
        <v>50</v>
      </c>
      <c r="F35" s="7" t="s">
        <v>131</v>
      </c>
      <c r="G35" s="10" t="s">
        <v>132</v>
      </c>
      <c r="H35" s="7" t="str">
        <f>"000150"</f>
        <v>000150</v>
      </c>
      <c r="I35" s="6">
        <v>42700</v>
      </c>
      <c r="J35" s="7" t="str">
        <f>"000011"</f>
        <v>000011</v>
      </c>
      <c r="K35" s="6">
        <v>43268</v>
      </c>
      <c r="L35" s="7" t="str">
        <f>"000039"</f>
        <v>000039</v>
      </c>
      <c r="M35" s="6">
        <v>43285</v>
      </c>
      <c r="N35" s="7">
        <v>16</v>
      </c>
      <c r="O35" s="7" t="str">
        <f>"002905"</f>
        <v>002905</v>
      </c>
      <c r="P35" s="6">
        <v>43637</v>
      </c>
      <c r="Q35" s="11">
        <v>1.746</v>
      </c>
      <c r="R35" s="11">
        <v>0.15690000000000001</v>
      </c>
      <c r="S35" s="11">
        <v>1.5891</v>
      </c>
      <c r="T35" s="7">
        <v>103</v>
      </c>
      <c r="U35" s="6">
        <v>43648</v>
      </c>
      <c r="V35" s="7">
        <v>9731169150</v>
      </c>
      <c r="W35" s="10" t="s">
        <v>128</v>
      </c>
      <c r="X35" s="7" t="s">
        <v>30</v>
      </c>
      <c r="Y35" s="10" t="s">
        <v>31</v>
      </c>
      <c r="Z35" s="7" t="s">
        <v>47</v>
      </c>
      <c r="AA35" s="10" t="s">
        <v>48</v>
      </c>
      <c r="AB35" s="11">
        <f t="shared" si="1"/>
        <v>1.746E-2</v>
      </c>
    </row>
    <row r="36" spans="1:28" x14ac:dyDescent="0.35">
      <c r="A36" s="4">
        <v>3311</v>
      </c>
      <c r="B36" s="5" t="s">
        <v>125</v>
      </c>
      <c r="C36" s="6">
        <v>43648</v>
      </c>
      <c r="D36" s="7">
        <v>98</v>
      </c>
      <c r="E36" s="8" t="s">
        <v>50</v>
      </c>
      <c r="F36" s="7" t="s">
        <v>133</v>
      </c>
      <c r="G36" s="10" t="s">
        <v>134</v>
      </c>
      <c r="H36" s="7" t="str">
        <f>"000155"</f>
        <v>000155</v>
      </c>
      <c r="I36" s="6">
        <v>42700</v>
      </c>
      <c r="J36" s="7" t="str">
        <f>"000012"</f>
        <v>000012</v>
      </c>
      <c r="K36" s="6">
        <v>43268</v>
      </c>
      <c r="L36" s="7" t="str">
        <f>"000040"</f>
        <v>000040</v>
      </c>
      <c r="M36" s="6">
        <v>43285</v>
      </c>
      <c r="N36" s="7">
        <v>16</v>
      </c>
      <c r="O36" s="7" t="str">
        <f>"002906"</f>
        <v>002906</v>
      </c>
      <c r="P36" s="6">
        <v>43637</v>
      </c>
      <c r="Q36" s="11">
        <v>1.7</v>
      </c>
      <c r="R36" s="11">
        <v>0.15290000000000001</v>
      </c>
      <c r="S36" s="11">
        <v>1.5470999999999999</v>
      </c>
      <c r="T36" s="7">
        <v>103</v>
      </c>
      <c r="U36" s="6">
        <v>43648</v>
      </c>
      <c r="V36" s="7">
        <v>9731169150</v>
      </c>
      <c r="W36" s="10" t="s">
        <v>128</v>
      </c>
      <c r="X36" s="7" t="s">
        <v>30</v>
      </c>
      <c r="Y36" s="10" t="s">
        <v>31</v>
      </c>
      <c r="Z36" s="7" t="s">
        <v>47</v>
      </c>
      <c r="AA36" s="10" t="s">
        <v>48</v>
      </c>
      <c r="AB36" s="11">
        <f t="shared" si="1"/>
        <v>1.7000000000000001E-2</v>
      </c>
    </row>
    <row r="37" spans="1:28" x14ac:dyDescent="0.35">
      <c r="A37" s="4">
        <v>3312</v>
      </c>
      <c r="B37" s="5" t="s">
        <v>125</v>
      </c>
      <c r="C37" s="6">
        <v>43648</v>
      </c>
      <c r="D37" s="7">
        <v>98</v>
      </c>
      <c r="E37" s="8" t="s">
        <v>50</v>
      </c>
      <c r="F37" s="7" t="s">
        <v>135</v>
      </c>
      <c r="G37" s="10" t="s">
        <v>136</v>
      </c>
      <c r="H37" s="7" t="str">
        <f>"000153"</f>
        <v>000153</v>
      </c>
      <c r="I37" s="6">
        <v>42700</v>
      </c>
      <c r="J37" s="7" t="str">
        <f>"000013"</f>
        <v>000013</v>
      </c>
      <c r="K37" s="6">
        <v>43268</v>
      </c>
      <c r="L37" s="7" t="str">
        <f>"000041"</f>
        <v>000041</v>
      </c>
      <c r="M37" s="6">
        <v>43285</v>
      </c>
      <c r="N37" s="7">
        <v>16</v>
      </c>
      <c r="O37" s="7" t="str">
        <f>"002907"</f>
        <v>002907</v>
      </c>
      <c r="P37" s="6">
        <v>43637</v>
      </c>
      <c r="Q37" s="11">
        <v>1.70584</v>
      </c>
      <c r="R37" s="11">
        <v>0.15337999999999999</v>
      </c>
      <c r="S37" s="11">
        <v>1.55246</v>
      </c>
      <c r="T37" s="7">
        <v>103</v>
      </c>
      <c r="U37" s="6">
        <v>43648</v>
      </c>
      <c r="V37" s="7">
        <v>9731169150</v>
      </c>
      <c r="W37" s="10" t="s">
        <v>128</v>
      </c>
      <c r="X37" s="7" t="s">
        <v>30</v>
      </c>
      <c r="Y37" s="10" t="s">
        <v>31</v>
      </c>
      <c r="Z37" s="7" t="s">
        <v>47</v>
      </c>
      <c r="AA37" s="10" t="s">
        <v>48</v>
      </c>
      <c r="AB37" s="11">
        <f t="shared" si="1"/>
        <v>1.7058400000000001E-2</v>
      </c>
    </row>
    <row r="38" spans="1:28" x14ac:dyDescent="0.35">
      <c r="A38" s="4">
        <v>3313</v>
      </c>
      <c r="B38" s="5" t="s">
        <v>125</v>
      </c>
      <c r="C38" s="6">
        <v>43648</v>
      </c>
      <c r="D38" s="7">
        <v>98</v>
      </c>
      <c r="E38" s="8" t="s">
        <v>50</v>
      </c>
      <c r="F38" s="7" t="s">
        <v>137</v>
      </c>
      <c r="G38" s="10" t="s">
        <v>138</v>
      </c>
      <c r="H38" s="7" t="str">
        <f>"000151"</f>
        <v>000151</v>
      </c>
      <c r="I38" s="6">
        <v>42700</v>
      </c>
      <c r="J38" s="7" t="str">
        <f>"000014"</f>
        <v>000014</v>
      </c>
      <c r="K38" s="6">
        <v>43268</v>
      </c>
      <c r="L38" s="7" t="str">
        <f>"000042"</f>
        <v>000042</v>
      </c>
      <c r="M38" s="6">
        <v>43285</v>
      </c>
      <c r="N38" s="7">
        <v>16</v>
      </c>
      <c r="O38" s="7" t="str">
        <f>"002908"</f>
        <v>002908</v>
      </c>
      <c r="P38" s="6">
        <v>43637</v>
      </c>
      <c r="Q38" s="11">
        <v>1.2781400000000001</v>
      </c>
      <c r="R38" s="11">
        <v>0.1149</v>
      </c>
      <c r="S38" s="11">
        <v>1.1632400000000001</v>
      </c>
      <c r="T38" s="7">
        <v>103</v>
      </c>
      <c r="U38" s="6">
        <v>43648</v>
      </c>
      <c r="V38" s="7">
        <v>9731169150</v>
      </c>
      <c r="W38" s="10" t="s">
        <v>128</v>
      </c>
      <c r="X38" s="7" t="s">
        <v>30</v>
      </c>
      <c r="Y38" s="10" t="s">
        <v>31</v>
      </c>
      <c r="Z38" s="7" t="s">
        <v>47</v>
      </c>
      <c r="AA38" s="10" t="s">
        <v>48</v>
      </c>
      <c r="AB38" s="11">
        <f t="shared" si="1"/>
        <v>1.27814E-2</v>
      </c>
    </row>
    <row r="39" spans="1:28" x14ac:dyDescent="0.35">
      <c r="A39" s="4">
        <v>3314</v>
      </c>
      <c r="B39" s="5" t="s">
        <v>125</v>
      </c>
      <c r="C39" s="6">
        <v>43650</v>
      </c>
      <c r="D39" s="7">
        <v>98</v>
      </c>
      <c r="E39" s="8" t="s">
        <v>50</v>
      </c>
      <c r="F39" s="7" t="s">
        <v>139</v>
      </c>
      <c r="G39" s="10" t="s">
        <v>140</v>
      </c>
      <c r="H39" s="7" t="str">
        <f>"000043"</f>
        <v>000043</v>
      </c>
      <c r="I39" s="6">
        <v>43482</v>
      </c>
      <c r="J39" s="7" t="str">
        <f>"000010"</f>
        <v>000010</v>
      </c>
      <c r="K39" s="6">
        <v>43595</v>
      </c>
      <c r="L39" s="7" t="str">
        <f>"000019"</f>
        <v>000019</v>
      </c>
      <c r="M39" s="6">
        <v>43603</v>
      </c>
      <c r="N39" s="7">
        <v>17</v>
      </c>
      <c r="O39" s="7" t="str">
        <f>"003102"</f>
        <v>003102</v>
      </c>
      <c r="P39" s="6">
        <v>43641</v>
      </c>
      <c r="Q39" s="11">
        <v>84.8245</v>
      </c>
      <c r="R39" s="11">
        <v>10.845409999999999</v>
      </c>
      <c r="S39" s="11">
        <v>73.979089999999999</v>
      </c>
      <c r="T39" s="7">
        <v>106</v>
      </c>
      <c r="U39" s="6">
        <v>43650</v>
      </c>
      <c r="V39" s="7">
        <v>9945867208</v>
      </c>
      <c r="W39" s="10" t="s">
        <v>141</v>
      </c>
      <c r="X39" s="7" t="s">
        <v>33</v>
      </c>
      <c r="Y39" s="10" t="s">
        <v>34</v>
      </c>
      <c r="Z39" s="7" t="s">
        <v>47</v>
      </c>
      <c r="AA39" s="10" t="s">
        <v>48</v>
      </c>
      <c r="AB39" s="11">
        <f t="shared" si="1"/>
        <v>0.84824500000000003</v>
      </c>
    </row>
    <row r="40" spans="1:28" x14ac:dyDescent="0.35">
      <c r="A40" s="4">
        <v>3315</v>
      </c>
      <c r="B40" s="5" t="s">
        <v>125</v>
      </c>
      <c r="C40" s="6">
        <v>43650</v>
      </c>
      <c r="D40" s="7">
        <v>98</v>
      </c>
      <c r="E40" s="8" t="s">
        <v>50</v>
      </c>
      <c r="F40" s="7" t="s">
        <v>142</v>
      </c>
      <c r="G40" s="10" t="s">
        <v>143</v>
      </c>
      <c r="H40" s="7" t="str">
        <f>"000036"</f>
        <v>000036</v>
      </c>
      <c r="I40" s="6">
        <v>43463</v>
      </c>
      <c r="J40" s="7" t="str">
        <f>"000017"</f>
        <v>000017</v>
      </c>
      <c r="K40" s="6">
        <v>43580</v>
      </c>
      <c r="L40" s="7" t="str">
        <f>"000026"</f>
        <v>000026</v>
      </c>
      <c r="M40" s="6">
        <v>43582</v>
      </c>
      <c r="N40" s="7">
        <v>18</v>
      </c>
      <c r="O40" s="7" t="str">
        <f>"003268"</f>
        <v>003268</v>
      </c>
      <c r="P40" s="6">
        <v>43645</v>
      </c>
      <c r="Q40" s="11">
        <v>49.929430000000004</v>
      </c>
      <c r="R40" s="11">
        <v>5.3883000000000001</v>
      </c>
      <c r="S40" s="11">
        <v>44.541130000000003</v>
      </c>
      <c r="T40" s="7">
        <v>106</v>
      </c>
      <c r="U40" s="6">
        <v>43650</v>
      </c>
      <c r="V40" s="7">
        <v>9482150029</v>
      </c>
      <c r="W40" s="10" t="s">
        <v>116</v>
      </c>
      <c r="X40" s="7" t="s">
        <v>33</v>
      </c>
      <c r="Y40" s="10" t="s">
        <v>34</v>
      </c>
      <c r="Z40" s="7" t="s">
        <v>43</v>
      </c>
      <c r="AA40" s="10" t="s">
        <v>44</v>
      </c>
      <c r="AB40" s="11">
        <f t="shared" si="1"/>
        <v>0.49929430000000002</v>
      </c>
    </row>
    <row r="41" spans="1:28" x14ac:dyDescent="0.35">
      <c r="A41" s="4">
        <v>3316</v>
      </c>
      <c r="B41" s="5" t="s">
        <v>125</v>
      </c>
      <c r="C41" s="6">
        <v>43650</v>
      </c>
      <c r="D41" s="7">
        <v>98</v>
      </c>
      <c r="E41" s="8" t="s">
        <v>50</v>
      </c>
      <c r="F41" s="7" t="s">
        <v>144</v>
      </c>
      <c r="G41" s="10" t="s">
        <v>145</v>
      </c>
      <c r="H41" s="7" t="str">
        <f>"000042"</f>
        <v>000042</v>
      </c>
      <c r="I41" s="6">
        <v>43463</v>
      </c>
      <c r="J41" s="7" t="str">
        <f>"000016"</f>
        <v>000016</v>
      </c>
      <c r="K41" s="6">
        <v>43580</v>
      </c>
      <c r="L41" s="7" t="str">
        <f>"000025"</f>
        <v>000025</v>
      </c>
      <c r="M41" s="6">
        <v>43582</v>
      </c>
      <c r="N41" s="7">
        <v>18</v>
      </c>
      <c r="O41" s="7" t="str">
        <f>"003269"</f>
        <v>003269</v>
      </c>
      <c r="P41" s="6">
        <v>43645</v>
      </c>
      <c r="Q41" s="11">
        <v>59.95496</v>
      </c>
      <c r="R41" s="11">
        <v>7.3548499999999999</v>
      </c>
      <c r="S41" s="11">
        <v>52.600110000000001</v>
      </c>
      <c r="T41" s="7">
        <v>106</v>
      </c>
      <c r="U41" s="6">
        <v>43650</v>
      </c>
      <c r="V41" s="7">
        <v>9482150029</v>
      </c>
      <c r="W41" s="10" t="s">
        <v>116</v>
      </c>
      <c r="X41" s="7" t="s">
        <v>33</v>
      </c>
      <c r="Y41" s="10" t="s">
        <v>34</v>
      </c>
      <c r="Z41" s="7" t="s">
        <v>43</v>
      </c>
      <c r="AA41" s="10" t="s">
        <v>44</v>
      </c>
      <c r="AB41" s="11">
        <f t="shared" si="1"/>
        <v>0.59954960000000002</v>
      </c>
    </row>
    <row r="42" spans="1:28" x14ac:dyDescent="0.35">
      <c r="A42" s="4">
        <v>3317</v>
      </c>
      <c r="B42" s="5" t="s">
        <v>125</v>
      </c>
      <c r="C42" s="6">
        <v>43650</v>
      </c>
      <c r="D42" s="7">
        <v>98</v>
      </c>
      <c r="E42" s="8" t="s">
        <v>50</v>
      </c>
      <c r="F42" s="7" t="s">
        <v>146</v>
      </c>
      <c r="G42" s="10" t="s">
        <v>147</v>
      </c>
      <c r="H42" s="7" t="str">
        <f>"000039"</f>
        <v>000039</v>
      </c>
      <c r="I42" s="6">
        <v>43463</v>
      </c>
      <c r="J42" s="7" t="str">
        <f>"000018"</f>
        <v>000018</v>
      </c>
      <c r="K42" s="6">
        <v>43580</v>
      </c>
      <c r="L42" s="7" t="str">
        <f>"000027"</f>
        <v>000027</v>
      </c>
      <c r="M42" s="6">
        <v>43582</v>
      </c>
      <c r="N42" s="7">
        <v>18</v>
      </c>
      <c r="O42" s="7" t="str">
        <f>"003270"</f>
        <v>003270</v>
      </c>
      <c r="P42" s="6">
        <v>43645</v>
      </c>
      <c r="Q42" s="11">
        <v>19.98272</v>
      </c>
      <c r="R42" s="11">
        <v>2.1867700000000001</v>
      </c>
      <c r="S42" s="11">
        <v>17.795950000000001</v>
      </c>
      <c r="T42" s="7">
        <v>106</v>
      </c>
      <c r="U42" s="6">
        <v>43650</v>
      </c>
      <c r="V42" s="7">
        <v>9482150029</v>
      </c>
      <c r="W42" s="10" t="s">
        <v>116</v>
      </c>
      <c r="X42" s="7" t="s">
        <v>33</v>
      </c>
      <c r="Y42" s="10" t="s">
        <v>34</v>
      </c>
      <c r="Z42" s="7" t="s">
        <v>43</v>
      </c>
      <c r="AA42" s="10" t="s">
        <v>44</v>
      </c>
      <c r="AB42" s="11">
        <f t="shared" si="1"/>
        <v>0.19982720000000001</v>
      </c>
    </row>
    <row r="43" spans="1:28" x14ac:dyDescent="0.35">
      <c r="A43" s="4">
        <v>3318</v>
      </c>
      <c r="B43" s="5" t="s">
        <v>125</v>
      </c>
      <c r="C43" s="6">
        <v>43663</v>
      </c>
      <c r="D43" s="7">
        <v>98</v>
      </c>
      <c r="E43" s="8" t="s">
        <v>50</v>
      </c>
      <c r="F43" s="7" t="s">
        <v>148</v>
      </c>
      <c r="G43" s="10" t="s">
        <v>149</v>
      </c>
      <c r="H43" s="7" t="str">
        <f>"000086"</f>
        <v>000086</v>
      </c>
      <c r="I43" s="6">
        <v>43105</v>
      </c>
      <c r="J43" s="7" t="str">
        <f>"000128"</f>
        <v>000128</v>
      </c>
      <c r="K43" s="6">
        <v>43187</v>
      </c>
      <c r="L43" s="7" t="str">
        <f>"000156"</f>
        <v>000156</v>
      </c>
      <c r="M43" s="6">
        <v>43187</v>
      </c>
      <c r="N43" s="7">
        <v>18</v>
      </c>
      <c r="O43" s="7" t="str">
        <f>"003449"</f>
        <v>003449</v>
      </c>
      <c r="P43" s="6">
        <v>43662</v>
      </c>
      <c r="Q43" s="11">
        <v>198.26443</v>
      </c>
      <c r="R43" s="11">
        <v>24.989409999999999</v>
      </c>
      <c r="S43" s="11">
        <v>173.27502000000001</v>
      </c>
      <c r="T43" s="7">
        <v>113</v>
      </c>
      <c r="U43" s="6">
        <v>43663</v>
      </c>
      <c r="V43" s="7">
        <v>9845058699</v>
      </c>
      <c r="W43" s="10" t="s">
        <v>150</v>
      </c>
      <c r="X43" s="7" t="s">
        <v>151</v>
      </c>
      <c r="Y43" s="10" t="s">
        <v>152</v>
      </c>
      <c r="Z43" s="7" t="s">
        <v>35</v>
      </c>
      <c r="AA43" s="10" t="s">
        <v>36</v>
      </c>
      <c r="AB43" s="11">
        <f t="shared" si="1"/>
        <v>1.9826443</v>
      </c>
    </row>
    <row r="44" spans="1:28" x14ac:dyDescent="0.35">
      <c r="A44" s="4">
        <v>3319</v>
      </c>
      <c r="B44" s="5" t="s">
        <v>125</v>
      </c>
      <c r="C44" s="6">
        <v>43665</v>
      </c>
      <c r="D44" s="7">
        <v>98</v>
      </c>
      <c r="E44" s="8" t="s">
        <v>50</v>
      </c>
      <c r="F44" s="7" t="s">
        <v>153</v>
      </c>
      <c r="G44" s="10" t="s">
        <v>154</v>
      </c>
      <c r="H44" s="7" t="str">
        <f>"000085"</f>
        <v>000085</v>
      </c>
      <c r="I44" s="6">
        <v>43104</v>
      </c>
      <c r="J44" s="7" t="str">
        <f>"000146"</f>
        <v>000146</v>
      </c>
      <c r="K44" s="6">
        <v>43190</v>
      </c>
      <c r="L44" s="7" t="str">
        <f>"000174"</f>
        <v>000174</v>
      </c>
      <c r="M44" s="6">
        <v>43190</v>
      </c>
      <c r="N44" s="7">
        <v>18</v>
      </c>
      <c r="O44" s="7" t="str">
        <f>"003821"</f>
        <v>003821</v>
      </c>
      <c r="P44" s="6">
        <v>43665</v>
      </c>
      <c r="Q44" s="11">
        <v>98.999099999999999</v>
      </c>
      <c r="R44" s="11">
        <v>12.47391</v>
      </c>
      <c r="S44" s="11">
        <v>86.525189999999995</v>
      </c>
      <c r="T44" s="7">
        <v>118</v>
      </c>
      <c r="U44" s="6">
        <v>43665</v>
      </c>
      <c r="V44" s="7">
        <v>9845058699</v>
      </c>
      <c r="W44" s="10" t="s">
        <v>150</v>
      </c>
      <c r="X44" s="7" t="s">
        <v>151</v>
      </c>
      <c r="Y44" s="10" t="s">
        <v>152</v>
      </c>
      <c r="Z44" s="7" t="s">
        <v>35</v>
      </c>
      <c r="AA44" s="10" t="s">
        <v>36</v>
      </c>
      <c r="AB44" s="11">
        <f t="shared" si="1"/>
        <v>0.98999099999999995</v>
      </c>
    </row>
    <row r="45" spans="1:28" x14ac:dyDescent="0.35">
      <c r="A45" s="4">
        <v>3320</v>
      </c>
      <c r="B45" s="5" t="s">
        <v>125</v>
      </c>
      <c r="C45" s="6">
        <v>43668</v>
      </c>
      <c r="D45" s="7">
        <v>98</v>
      </c>
      <c r="E45" s="8" t="s">
        <v>50</v>
      </c>
      <c r="F45" s="7" t="s">
        <v>155</v>
      </c>
      <c r="G45" s="10" t="s">
        <v>156</v>
      </c>
      <c r="H45" s="7" t="str">
        <f>"000035"</f>
        <v>000035</v>
      </c>
      <c r="I45" s="6">
        <v>43463</v>
      </c>
      <c r="J45" s="7" t="str">
        <f>"000044"</f>
        <v>000044</v>
      </c>
      <c r="K45" s="6">
        <v>43622</v>
      </c>
      <c r="L45" s="7" t="str">
        <f>"000044"</f>
        <v>000044</v>
      </c>
      <c r="M45" s="6">
        <v>43622</v>
      </c>
      <c r="N45" s="7">
        <v>18</v>
      </c>
      <c r="O45" s="7" t="str">
        <f>"003394"</f>
        <v>003394</v>
      </c>
      <c r="P45" s="6">
        <v>43657</v>
      </c>
      <c r="Q45" s="11">
        <v>49.988100000000003</v>
      </c>
      <c r="R45" s="11">
        <v>5.2310100000000004</v>
      </c>
      <c r="S45" s="11">
        <v>44.757089999999998</v>
      </c>
      <c r="T45" s="7">
        <v>119</v>
      </c>
      <c r="U45" s="6">
        <v>43668</v>
      </c>
      <c r="V45" s="7">
        <v>9482150029</v>
      </c>
      <c r="W45" s="10" t="s">
        <v>116</v>
      </c>
      <c r="X45" s="7" t="s">
        <v>33</v>
      </c>
      <c r="Y45" s="10" t="s">
        <v>34</v>
      </c>
      <c r="Z45" s="7" t="s">
        <v>43</v>
      </c>
      <c r="AA45" s="10" t="s">
        <v>44</v>
      </c>
      <c r="AB45" s="11">
        <f t="shared" si="1"/>
        <v>0.49988100000000002</v>
      </c>
    </row>
    <row r="46" spans="1:28" x14ac:dyDescent="0.35">
      <c r="A46" s="4">
        <v>3321</v>
      </c>
      <c r="B46" s="5" t="s">
        <v>125</v>
      </c>
      <c r="C46" s="6">
        <v>43668</v>
      </c>
      <c r="D46" s="7">
        <v>98</v>
      </c>
      <c r="E46" s="8" t="s">
        <v>50</v>
      </c>
      <c r="F46" s="7" t="s">
        <v>157</v>
      </c>
      <c r="G46" s="10" t="s">
        <v>158</v>
      </c>
      <c r="H46" s="7" t="str">
        <f>"000041"</f>
        <v>000041</v>
      </c>
      <c r="I46" s="6">
        <v>43463</v>
      </c>
      <c r="J46" s="7" t="str">
        <f>"000045"</f>
        <v>000045</v>
      </c>
      <c r="K46" s="6">
        <v>43622</v>
      </c>
      <c r="L46" s="7" t="str">
        <f>"000045"</f>
        <v>000045</v>
      </c>
      <c r="M46" s="6">
        <v>43622</v>
      </c>
      <c r="N46" s="7">
        <v>18</v>
      </c>
      <c r="O46" s="7" t="str">
        <f>"003395"</f>
        <v>003395</v>
      </c>
      <c r="P46" s="6">
        <v>43657</v>
      </c>
      <c r="Q46" s="11">
        <v>19.975650000000002</v>
      </c>
      <c r="R46" s="11">
        <v>2.17835</v>
      </c>
      <c r="S46" s="11">
        <v>17.7973</v>
      </c>
      <c r="T46" s="7">
        <v>119</v>
      </c>
      <c r="U46" s="6">
        <v>43668</v>
      </c>
      <c r="V46" s="7">
        <v>9482150029</v>
      </c>
      <c r="W46" s="10" t="s">
        <v>116</v>
      </c>
      <c r="X46" s="7" t="s">
        <v>33</v>
      </c>
      <c r="Y46" s="10" t="s">
        <v>34</v>
      </c>
      <c r="Z46" s="7" t="s">
        <v>43</v>
      </c>
      <c r="AA46" s="10" t="s">
        <v>44</v>
      </c>
      <c r="AB46" s="11">
        <f t="shared" si="1"/>
        <v>0.1997565</v>
      </c>
    </row>
    <row r="47" spans="1:28" x14ac:dyDescent="0.35">
      <c r="A47" s="4">
        <v>3322</v>
      </c>
      <c r="B47" s="5" t="s">
        <v>125</v>
      </c>
      <c r="C47" s="6">
        <v>43668</v>
      </c>
      <c r="D47" s="7">
        <v>98</v>
      </c>
      <c r="E47" s="8" t="s">
        <v>50</v>
      </c>
      <c r="F47" s="7" t="s">
        <v>159</v>
      </c>
      <c r="G47" s="10" t="s">
        <v>160</v>
      </c>
      <c r="H47" s="7" t="str">
        <f>"000040"</f>
        <v>000040</v>
      </c>
      <c r="I47" s="6">
        <v>43463</v>
      </c>
      <c r="J47" s="7" t="str">
        <f>"000020"</f>
        <v>000020</v>
      </c>
      <c r="K47" s="6">
        <v>43580</v>
      </c>
      <c r="L47" s="7" t="str">
        <f>"000029"</f>
        <v>000029</v>
      </c>
      <c r="M47" s="6">
        <v>43582</v>
      </c>
      <c r="N47" s="7">
        <v>18</v>
      </c>
      <c r="O47" s="7" t="str">
        <f>"003756"</f>
        <v>003756</v>
      </c>
      <c r="P47" s="6">
        <v>43664</v>
      </c>
      <c r="Q47" s="11">
        <v>19.984110000000001</v>
      </c>
      <c r="R47" s="11">
        <v>2.34762</v>
      </c>
      <c r="S47" s="11">
        <v>17.636489999999998</v>
      </c>
      <c r="T47" s="7">
        <v>119</v>
      </c>
      <c r="U47" s="6">
        <v>43668</v>
      </c>
      <c r="V47" s="7">
        <v>9482150029</v>
      </c>
      <c r="W47" s="10" t="s">
        <v>116</v>
      </c>
      <c r="X47" s="7" t="s">
        <v>33</v>
      </c>
      <c r="Y47" s="10" t="s">
        <v>34</v>
      </c>
      <c r="Z47" s="7" t="s">
        <v>43</v>
      </c>
      <c r="AA47" s="10" t="s">
        <v>44</v>
      </c>
      <c r="AB47" s="11">
        <f t="shared" si="1"/>
        <v>0.19984110000000002</v>
      </c>
    </row>
    <row r="48" spans="1:28" x14ac:dyDescent="0.35">
      <c r="A48" s="4">
        <v>3323</v>
      </c>
      <c r="B48" s="5" t="s">
        <v>125</v>
      </c>
      <c r="C48" s="6">
        <v>43668</v>
      </c>
      <c r="D48" s="7">
        <v>98</v>
      </c>
      <c r="E48" s="8" t="s">
        <v>50</v>
      </c>
      <c r="F48" s="7" t="s">
        <v>161</v>
      </c>
      <c r="G48" s="10" t="s">
        <v>162</v>
      </c>
      <c r="H48" s="7" t="str">
        <f>"000043"</f>
        <v>000043</v>
      </c>
      <c r="I48" s="6">
        <v>43463</v>
      </c>
      <c r="J48" s="7" t="str">
        <f>"000019"</f>
        <v>000019</v>
      </c>
      <c r="K48" s="6">
        <v>43580</v>
      </c>
      <c r="L48" s="7" t="str">
        <f>"000028"</f>
        <v>000028</v>
      </c>
      <c r="M48" s="6">
        <v>43582</v>
      </c>
      <c r="N48" s="7">
        <v>18</v>
      </c>
      <c r="O48" s="7" t="str">
        <f>"003778"</f>
        <v>003778</v>
      </c>
      <c r="P48" s="6">
        <v>43664</v>
      </c>
      <c r="Q48" s="11">
        <v>69.041390000000007</v>
      </c>
      <c r="R48" s="11">
        <v>7.1046300000000002</v>
      </c>
      <c r="S48" s="11">
        <v>61.93676</v>
      </c>
      <c r="T48" s="7">
        <v>119</v>
      </c>
      <c r="U48" s="6">
        <v>43668</v>
      </c>
      <c r="V48" s="7">
        <v>9482150029</v>
      </c>
      <c r="W48" s="10" t="s">
        <v>116</v>
      </c>
      <c r="X48" s="7" t="s">
        <v>33</v>
      </c>
      <c r="Y48" s="10" t="s">
        <v>34</v>
      </c>
      <c r="Z48" s="7" t="s">
        <v>43</v>
      </c>
      <c r="AA48" s="10" t="s">
        <v>44</v>
      </c>
      <c r="AB48" s="11">
        <f t="shared" si="1"/>
        <v>0.69041390000000002</v>
      </c>
    </row>
    <row r="49" spans="1:28" x14ac:dyDescent="0.35">
      <c r="A49" s="4">
        <v>3324</v>
      </c>
      <c r="B49" s="5" t="s">
        <v>163</v>
      </c>
      <c r="C49" s="6">
        <v>43684</v>
      </c>
      <c r="D49" s="7">
        <v>98</v>
      </c>
      <c r="E49" s="8" t="s">
        <v>50</v>
      </c>
      <c r="F49" s="7" t="s">
        <v>164</v>
      </c>
      <c r="G49" s="10" t="s">
        <v>165</v>
      </c>
      <c r="H49" s="7" t="str">
        <f>"000098"</f>
        <v>000098</v>
      </c>
      <c r="I49" s="6">
        <v>42986</v>
      </c>
      <c r="J49" s="7" t="str">
        <f>"000110"</f>
        <v>000110</v>
      </c>
      <c r="K49" s="6">
        <v>43159</v>
      </c>
      <c r="L49" s="7" t="str">
        <f>"000527"</f>
        <v>000527</v>
      </c>
      <c r="M49" s="6">
        <v>43161</v>
      </c>
      <c r="N49" s="7">
        <v>17</v>
      </c>
      <c r="O49" s="7" t="str">
        <f>"004256"</f>
        <v>004256</v>
      </c>
      <c r="P49" s="6">
        <v>43680</v>
      </c>
      <c r="Q49" s="11">
        <v>18.881799999999998</v>
      </c>
      <c r="R49" s="11">
        <v>2.20913</v>
      </c>
      <c r="S49" s="11">
        <v>16.67267</v>
      </c>
      <c r="T49" s="7">
        <v>144</v>
      </c>
      <c r="U49" s="6">
        <v>43684</v>
      </c>
      <c r="V49" s="7">
        <v>9731169150</v>
      </c>
      <c r="W49" s="10" t="s">
        <v>166</v>
      </c>
      <c r="X49" s="7" t="s">
        <v>30</v>
      </c>
      <c r="Y49" s="10" t="s">
        <v>31</v>
      </c>
      <c r="Z49" s="7" t="s">
        <v>47</v>
      </c>
      <c r="AA49" s="10" t="s">
        <v>48</v>
      </c>
      <c r="AB49" s="11">
        <f t="shared" si="1"/>
        <v>0.18881799999999999</v>
      </c>
    </row>
    <row r="50" spans="1:28" x14ac:dyDescent="0.35">
      <c r="A50" s="4">
        <v>3325</v>
      </c>
      <c r="B50" s="5" t="s">
        <v>163</v>
      </c>
      <c r="C50" s="6">
        <v>43693</v>
      </c>
      <c r="D50" s="7">
        <v>98</v>
      </c>
      <c r="E50" s="8" t="s">
        <v>50</v>
      </c>
      <c r="F50" s="7" t="s">
        <v>167</v>
      </c>
      <c r="G50" s="10" t="s">
        <v>168</v>
      </c>
      <c r="H50" s="7" t="str">
        <f>"000085"</f>
        <v>000085</v>
      </c>
      <c r="I50" s="6">
        <v>43549</v>
      </c>
      <c r="J50" s="7" t="str">
        <f>"000061"</f>
        <v>000061</v>
      </c>
      <c r="K50" s="6">
        <v>43649</v>
      </c>
      <c r="L50" s="7" t="str">
        <f>"000079"</f>
        <v>000079</v>
      </c>
      <c r="M50" s="6">
        <v>43652</v>
      </c>
      <c r="N50" s="7">
        <v>18</v>
      </c>
      <c r="O50" s="7" t="str">
        <f>"004221"</f>
        <v>004221</v>
      </c>
      <c r="P50" s="6">
        <v>43679</v>
      </c>
      <c r="Q50" s="11">
        <v>29.693149999999999</v>
      </c>
      <c r="R50" s="11">
        <v>3.2415500000000002</v>
      </c>
      <c r="S50" s="11">
        <v>26.451599999999999</v>
      </c>
      <c r="T50" s="7">
        <v>155</v>
      </c>
      <c r="U50" s="6">
        <v>43693</v>
      </c>
      <c r="V50" s="7">
        <v>9945867208</v>
      </c>
      <c r="W50" s="10" t="s">
        <v>169</v>
      </c>
      <c r="X50" s="7" t="s">
        <v>33</v>
      </c>
      <c r="Y50" s="10" t="s">
        <v>34</v>
      </c>
      <c r="Z50" s="7" t="s">
        <v>47</v>
      </c>
      <c r="AA50" s="10" t="s">
        <v>48</v>
      </c>
      <c r="AB50" s="11">
        <f t="shared" si="1"/>
        <v>0.29693150000000001</v>
      </c>
    </row>
    <row r="51" spans="1:28" x14ac:dyDescent="0.35">
      <c r="A51" s="4">
        <v>3326</v>
      </c>
      <c r="B51" s="5" t="s">
        <v>163</v>
      </c>
      <c r="C51" s="6">
        <v>43703</v>
      </c>
      <c r="D51" s="7">
        <v>98</v>
      </c>
      <c r="E51" s="8" t="s">
        <v>50</v>
      </c>
      <c r="F51" s="7" t="s">
        <v>170</v>
      </c>
      <c r="G51" s="10" t="s">
        <v>171</v>
      </c>
      <c r="H51" s="7" t="str">
        <f>"000021"</f>
        <v>000021</v>
      </c>
      <c r="I51" s="6">
        <v>43355</v>
      </c>
      <c r="J51" s="7" t="str">
        <f>"000056"</f>
        <v>000056</v>
      </c>
      <c r="K51" s="6">
        <v>43449</v>
      </c>
      <c r="L51" s="7" t="str">
        <f>"000145"</f>
        <v>000145</v>
      </c>
      <c r="M51" s="6">
        <v>43483</v>
      </c>
      <c r="N51" s="7">
        <v>17</v>
      </c>
      <c r="O51" s="7" t="str">
        <f>"004616"</f>
        <v>004616</v>
      </c>
      <c r="P51" s="6">
        <v>43694</v>
      </c>
      <c r="Q51" s="11">
        <v>29.69566</v>
      </c>
      <c r="R51" s="11">
        <v>3.8374600000000001</v>
      </c>
      <c r="S51" s="11">
        <v>25.8582</v>
      </c>
      <c r="T51" s="7">
        <v>163</v>
      </c>
      <c r="U51" s="6">
        <v>43703</v>
      </c>
      <c r="V51" s="7">
        <v>9449863068</v>
      </c>
      <c r="W51" s="10" t="s">
        <v>49</v>
      </c>
      <c r="X51" s="7" t="s">
        <v>33</v>
      </c>
      <c r="Y51" s="10" t="s">
        <v>34</v>
      </c>
      <c r="Z51" s="7" t="s">
        <v>47</v>
      </c>
      <c r="AA51" s="10" t="s">
        <v>48</v>
      </c>
      <c r="AB51" s="11">
        <f t="shared" si="1"/>
        <v>0.29695660000000001</v>
      </c>
    </row>
    <row r="52" spans="1:28" x14ac:dyDescent="0.35">
      <c r="A52" s="4">
        <v>3327</v>
      </c>
      <c r="B52" s="5" t="s">
        <v>163</v>
      </c>
      <c r="C52" s="6">
        <v>43705</v>
      </c>
      <c r="D52" s="7">
        <v>98</v>
      </c>
      <c r="E52" s="8" t="s">
        <v>50</v>
      </c>
      <c r="F52" s="7" t="s">
        <v>172</v>
      </c>
      <c r="G52" s="10" t="s">
        <v>173</v>
      </c>
      <c r="H52" s="7" t="str">
        <f>"000076"</f>
        <v>000076</v>
      </c>
      <c r="I52" s="6">
        <v>43637</v>
      </c>
      <c r="J52" s="7" t="str">
        <f>"000056"</f>
        <v>000056</v>
      </c>
      <c r="K52" s="6">
        <v>43640</v>
      </c>
      <c r="L52" s="7" t="str">
        <f>"000100"</f>
        <v>000100</v>
      </c>
      <c r="M52" s="6">
        <v>43655</v>
      </c>
      <c r="N52" s="7">
        <v>18</v>
      </c>
      <c r="O52" s="7" t="str">
        <f>"004727"</f>
        <v>004727</v>
      </c>
      <c r="P52" s="6">
        <v>43699</v>
      </c>
      <c r="Q52" s="11">
        <v>46.033859999999997</v>
      </c>
      <c r="R52" s="11">
        <v>5.0533799999999998</v>
      </c>
      <c r="S52" s="11">
        <v>40.98048</v>
      </c>
      <c r="T52" s="7">
        <v>168</v>
      </c>
      <c r="U52" s="6">
        <v>43705</v>
      </c>
      <c r="V52" s="7">
        <v>9945867208</v>
      </c>
      <c r="W52" s="10" t="s">
        <v>174</v>
      </c>
      <c r="X52" s="7" t="s">
        <v>37</v>
      </c>
      <c r="Y52" s="10" t="s">
        <v>38</v>
      </c>
      <c r="Z52" s="7" t="s">
        <v>47</v>
      </c>
      <c r="AA52" s="10" t="s">
        <v>48</v>
      </c>
      <c r="AB52" s="11">
        <f t="shared" si="1"/>
        <v>0.46033859999999999</v>
      </c>
    </row>
    <row r="53" spans="1:28" x14ac:dyDescent="0.35">
      <c r="A53" s="4">
        <v>3328</v>
      </c>
      <c r="B53" s="5" t="s">
        <v>175</v>
      </c>
      <c r="C53" s="6">
        <v>43717</v>
      </c>
      <c r="D53" s="7">
        <v>98</v>
      </c>
      <c r="E53" s="8" t="s">
        <v>50</v>
      </c>
      <c r="F53" s="7" t="s">
        <v>176</v>
      </c>
      <c r="G53" s="10" t="s">
        <v>177</v>
      </c>
      <c r="H53" s="7" t="str">
        <f>"000242"</f>
        <v>000242</v>
      </c>
      <c r="I53" s="6">
        <v>43201</v>
      </c>
      <c r="J53" s="7" t="str">
        <f>"000034"</f>
        <v>000034</v>
      </c>
      <c r="K53" s="6">
        <v>43635</v>
      </c>
      <c r="L53" s="7" t="str">
        <f>"000082"</f>
        <v>000082</v>
      </c>
      <c r="M53" s="6">
        <v>43652</v>
      </c>
      <c r="N53" s="7">
        <v>17</v>
      </c>
      <c r="O53" s="7" t="str">
        <f>"004794"</f>
        <v>004794</v>
      </c>
      <c r="P53" s="6">
        <v>43704</v>
      </c>
      <c r="Q53" s="11">
        <v>19.934699999999999</v>
      </c>
      <c r="R53" s="11">
        <v>2.13625</v>
      </c>
      <c r="S53" s="11">
        <v>17.798449999999999</v>
      </c>
      <c r="T53" s="7">
        <v>178</v>
      </c>
      <c r="U53" s="6">
        <v>43717</v>
      </c>
      <c r="V53" s="7">
        <v>9449863068</v>
      </c>
      <c r="W53" s="10" t="s">
        <v>49</v>
      </c>
      <c r="X53" s="7" t="s">
        <v>33</v>
      </c>
      <c r="Y53" s="10" t="s">
        <v>34</v>
      </c>
      <c r="Z53" s="7" t="s">
        <v>47</v>
      </c>
      <c r="AA53" s="10" t="s">
        <v>48</v>
      </c>
      <c r="AB53" s="11">
        <f t="shared" si="1"/>
        <v>0.199347</v>
      </c>
    </row>
    <row r="54" spans="1:28" x14ac:dyDescent="0.35">
      <c r="A54" s="4">
        <v>3329</v>
      </c>
      <c r="B54" s="5" t="s">
        <v>175</v>
      </c>
      <c r="C54" s="6">
        <v>43717</v>
      </c>
      <c r="D54" s="7">
        <v>98</v>
      </c>
      <c r="E54" s="8" t="s">
        <v>50</v>
      </c>
      <c r="F54" s="7" t="s">
        <v>178</v>
      </c>
      <c r="G54" s="10" t="s">
        <v>179</v>
      </c>
      <c r="H54" s="7" t="str">
        <f>"000082"</f>
        <v>000082</v>
      </c>
      <c r="I54" s="6">
        <v>43544</v>
      </c>
      <c r="J54" s="7" t="str">
        <f>"000036"</f>
        <v>000036</v>
      </c>
      <c r="K54" s="6">
        <v>43635</v>
      </c>
      <c r="L54" s="7" t="str">
        <f>"000094"</f>
        <v>000094</v>
      </c>
      <c r="M54" s="6">
        <v>43655</v>
      </c>
      <c r="N54" s="7">
        <v>18</v>
      </c>
      <c r="O54" s="7" t="str">
        <f>"004795"</f>
        <v>004795</v>
      </c>
      <c r="P54" s="6">
        <v>43704</v>
      </c>
      <c r="Q54" s="11">
        <v>39.785580000000003</v>
      </c>
      <c r="R54" s="11">
        <v>4.0209000000000001</v>
      </c>
      <c r="S54" s="11">
        <v>35.764679999999998</v>
      </c>
      <c r="T54" s="7">
        <v>178</v>
      </c>
      <c r="U54" s="6">
        <v>43717</v>
      </c>
      <c r="V54" s="7">
        <v>9945867208</v>
      </c>
      <c r="W54" s="10" t="s">
        <v>169</v>
      </c>
      <c r="X54" s="7" t="s">
        <v>33</v>
      </c>
      <c r="Y54" s="10" t="s">
        <v>34</v>
      </c>
      <c r="Z54" s="7" t="s">
        <v>47</v>
      </c>
      <c r="AA54" s="10" t="s">
        <v>48</v>
      </c>
      <c r="AB54" s="11">
        <f t="shared" si="1"/>
        <v>0.39785580000000004</v>
      </c>
    </row>
    <row r="55" spans="1:28" x14ac:dyDescent="0.35">
      <c r="A55" s="4">
        <v>3330</v>
      </c>
      <c r="B55" s="5" t="s">
        <v>175</v>
      </c>
      <c r="C55" s="6">
        <v>43726</v>
      </c>
      <c r="D55" s="7">
        <v>98</v>
      </c>
      <c r="E55" s="8" t="s">
        <v>50</v>
      </c>
      <c r="F55" s="7" t="s">
        <v>180</v>
      </c>
      <c r="G55" s="10" t="s">
        <v>181</v>
      </c>
      <c r="H55" s="7" t="str">
        <f>"000056"</f>
        <v>000056</v>
      </c>
      <c r="I55" s="6">
        <v>43489</v>
      </c>
      <c r="J55" s="7" t="str">
        <f>"000066"</f>
        <v>000066</v>
      </c>
      <c r="K55" s="6">
        <v>43672</v>
      </c>
      <c r="L55" s="7" t="str">
        <f>"000113"</f>
        <v>000113</v>
      </c>
      <c r="M55" s="6">
        <v>43676</v>
      </c>
      <c r="N55" s="7">
        <v>17</v>
      </c>
      <c r="O55" s="7" t="str">
        <f>"005003"</f>
        <v>005003</v>
      </c>
      <c r="P55" s="6">
        <v>43719</v>
      </c>
      <c r="Q55" s="11">
        <v>98.063000000000002</v>
      </c>
      <c r="R55" s="11">
        <v>10.114050000000001</v>
      </c>
      <c r="S55" s="11">
        <v>87.948949999999996</v>
      </c>
      <c r="T55" s="7">
        <v>191</v>
      </c>
      <c r="U55" s="6">
        <v>43726</v>
      </c>
      <c r="V55" s="7">
        <v>9945867208</v>
      </c>
      <c r="W55" s="10" t="s">
        <v>169</v>
      </c>
      <c r="X55" s="7" t="s">
        <v>33</v>
      </c>
      <c r="Y55" s="10" t="s">
        <v>34</v>
      </c>
      <c r="Z55" s="7" t="s">
        <v>47</v>
      </c>
      <c r="AA55" s="10" t="s">
        <v>48</v>
      </c>
      <c r="AB55" s="11">
        <f t="shared" si="1"/>
        <v>0.98063</v>
      </c>
    </row>
    <row r="56" spans="1:28" x14ac:dyDescent="0.35">
      <c r="A56" s="4">
        <v>3331</v>
      </c>
      <c r="B56" s="5" t="s">
        <v>175</v>
      </c>
      <c r="C56" s="6">
        <v>43726</v>
      </c>
      <c r="D56" s="7">
        <v>98</v>
      </c>
      <c r="E56" s="8" t="s">
        <v>50</v>
      </c>
      <c r="F56" s="7" t="s">
        <v>182</v>
      </c>
      <c r="G56" s="10" t="s">
        <v>183</v>
      </c>
      <c r="H56" s="7" t="str">
        <f>"000044"</f>
        <v>000044</v>
      </c>
      <c r="I56" s="6">
        <v>43482</v>
      </c>
      <c r="J56" s="7" t="str">
        <f>"000037"</f>
        <v>000037</v>
      </c>
      <c r="K56" s="6">
        <v>43635</v>
      </c>
      <c r="L56" s="7" t="str">
        <f>"000081"</f>
        <v>000081</v>
      </c>
      <c r="M56" s="6">
        <v>43652</v>
      </c>
      <c r="N56" s="7">
        <v>18</v>
      </c>
      <c r="O56" s="7" t="str">
        <f>"005004"</f>
        <v>005004</v>
      </c>
      <c r="P56" s="6">
        <v>43719</v>
      </c>
      <c r="Q56" s="11">
        <v>39.943179999999998</v>
      </c>
      <c r="R56" s="11">
        <v>4.3591899999999999</v>
      </c>
      <c r="S56" s="11">
        <v>35.58399</v>
      </c>
      <c r="T56" s="7">
        <v>191</v>
      </c>
      <c r="U56" s="6">
        <v>43726</v>
      </c>
      <c r="V56" s="7">
        <v>9945867208</v>
      </c>
      <c r="W56" s="10" t="s">
        <v>169</v>
      </c>
      <c r="X56" s="7" t="s">
        <v>33</v>
      </c>
      <c r="Y56" s="10" t="s">
        <v>34</v>
      </c>
      <c r="Z56" s="7" t="s">
        <v>47</v>
      </c>
      <c r="AA56" s="10" t="s">
        <v>48</v>
      </c>
      <c r="AB56" s="11">
        <f t="shared" si="1"/>
        <v>0.3994318</v>
      </c>
    </row>
    <row r="57" spans="1:28" x14ac:dyDescent="0.35">
      <c r="A57" s="4">
        <v>3332</v>
      </c>
      <c r="B57" s="5" t="s">
        <v>175</v>
      </c>
      <c r="C57" s="6">
        <v>43726</v>
      </c>
      <c r="D57" s="7">
        <v>98</v>
      </c>
      <c r="E57" s="8" t="s">
        <v>50</v>
      </c>
      <c r="F57" s="7" t="s">
        <v>184</v>
      </c>
      <c r="G57" s="10" t="s">
        <v>185</v>
      </c>
      <c r="H57" s="7" t="str">
        <f>"000275"</f>
        <v>000275</v>
      </c>
      <c r="I57" s="6">
        <v>43241</v>
      </c>
      <c r="J57" s="7" t="str">
        <f>"000057"</f>
        <v>000057</v>
      </c>
      <c r="K57" s="6">
        <v>43640</v>
      </c>
      <c r="L57" s="7" t="str">
        <f>"000083"</f>
        <v>000083</v>
      </c>
      <c r="M57" s="6">
        <v>43652</v>
      </c>
      <c r="N57" s="7">
        <v>17</v>
      </c>
      <c r="O57" s="7" t="str">
        <f>"005160"</f>
        <v>005160</v>
      </c>
      <c r="P57" s="6">
        <v>43726</v>
      </c>
      <c r="Q57" s="11">
        <v>9.9977499999999999</v>
      </c>
      <c r="R57" s="11">
        <v>1.2288399999999999</v>
      </c>
      <c r="S57" s="11">
        <v>8.76891</v>
      </c>
      <c r="T57" s="7">
        <v>192</v>
      </c>
      <c r="U57" s="6">
        <v>43726</v>
      </c>
      <c r="V57" s="7">
        <v>9449863068</v>
      </c>
      <c r="W57" s="10" t="s">
        <v>49</v>
      </c>
      <c r="X57" s="7" t="s">
        <v>33</v>
      </c>
      <c r="Y57" s="10" t="s">
        <v>34</v>
      </c>
      <c r="Z57" s="7" t="s">
        <v>47</v>
      </c>
      <c r="AA57" s="10" t="s">
        <v>48</v>
      </c>
      <c r="AB57" s="11">
        <f t="shared" si="1"/>
        <v>9.9977499999999997E-2</v>
      </c>
    </row>
    <row r="58" spans="1:28" x14ac:dyDescent="0.35">
      <c r="A58" s="4">
        <v>3333</v>
      </c>
      <c r="B58" s="5" t="s">
        <v>175</v>
      </c>
      <c r="C58" s="6">
        <v>43729</v>
      </c>
      <c r="D58" s="7">
        <v>98</v>
      </c>
      <c r="E58" s="8" t="s">
        <v>50</v>
      </c>
      <c r="F58" s="7" t="s">
        <v>186</v>
      </c>
      <c r="G58" s="10" t="s">
        <v>187</v>
      </c>
      <c r="H58" s="7" t="str">
        <f>"000221"</f>
        <v>000221</v>
      </c>
      <c r="I58" s="6">
        <v>43196</v>
      </c>
      <c r="J58" s="7" t="str">
        <f>"000018"</f>
        <v>000018</v>
      </c>
      <c r="K58" s="6">
        <v>43279</v>
      </c>
      <c r="L58" s="7" t="str">
        <f>"000069"</f>
        <v>000069</v>
      </c>
      <c r="M58" s="6">
        <v>43332</v>
      </c>
      <c r="N58" s="7">
        <v>18</v>
      </c>
      <c r="O58" s="7" t="str">
        <f>"005183"</f>
        <v>005183</v>
      </c>
      <c r="P58" s="6">
        <v>43726</v>
      </c>
      <c r="Q58" s="11">
        <v>11.39433</v>
      </c>
      <c r="R58" s="11">
        <v>1.3559699999999999</v>
      </c>
      <c r="S58" s="11">
        <v>10.038360000000001</v>
      </c>
      <c r="T58" s="7">
        <v>195</v>
      </c>
      <c r="U58" s="6">
        <v>43729</v>
      </c>
      <c r="V58" s="7">
        <v>9449863068</v>
      </c>
      <c r="W58" s="10" t="s">
        <v>49</v>
      </c>
      <c r="X58" s="7" t="s">
        <v>151</v>
      </c>
      <c r="Y58" s="10" t="s">
        <v>152</v>
      </c>
      <c r="Z58" s="7" t="s">
        <v>47</v>
      </c>
      <c r="AA58" s="10" t="s">
        <v>48</v>
      </c>
      <c r="AB58" s="11">
        <f t="shared" si="1"/>
        <v>0.1139433</v>
      </c>
    </row>
    <row r="59" spans="1:28" x14ac:dyDescent="0.35">
      <c r="A59" s="4">
        <v>3334</v>
      </c>
      <c r="B59" s="5" t="s">
        <v>188</v>
      </c>
      <c r="C59" s="6">
        <v>43748</v>
      </c>
      <c r="D59" s="4">
        <v>98</v>
      </c>
      <c r="E59" s="8" t="s">
        <v>50</v>
      </c>
      <c r="F59" s="7" t="s">
        <v>189</v>
      </c>
      <c r="G59" s="8" t="s">
        <v>190</v>
      </c>
      <c r="H59" s="7" t="str">
        <f>"000005"</f>
        <v>000005</v>
      </c>
      <c r="I59" s="6">
        <v>43724</v>
      </c>
      <c r="J59" s="7" t="str">
        <f>"000010"</f>
        <v>000010</v>
      </c>
      <c r="K59" s="6">
        <v>43725</v>
      </c>
      <c r="L59" s="7" t="str">
        <f>"000091"</f>
        <v>000091</v>
      </c>
      <c r="M59" s="6">
        <v>43725</v>
      </c>
      <c r="N59" s="7">
        <v>18</v>
      </c>
      <c r="O59" s="7" t="str">
        <f>"005463"</f>
        <v>005463</v>
      </c>
      <c r="P59" s="6">
        <v>43739</v>
      </c>
      <c r="Q59" s="9">
        <v>173.4</v>
      </c>
      <c r="R59" s="9">
        <v>8.2664399999999993</v>
      </c>
      <c r="S59" s="9">
        <v>165.13355999999999</v>
      </c>
      <c r="T59" s="7">
        <v>13</v>
      </c>
      <c r="U59" s="6">
        <v>43748</v>
      </c>
      <c r="V59" s="7">
        <v>9449680044</v>
      </c>
      <c r="W59" s="8" t="s">
        <v>191</v>
      </c>
      <c r="X59" s="7" t="s">
        <v>192</v>
      </c>
      <c r="Y59" s="8" t="s">
        <v>193</v>
      </c>
      <c r="Z59" s="7" t="s">
        <v>194</v>
      </c>
      <c r="AA59" s="8" t="s">
        <v>195</v>
      </c>
      <c r="AB59" s="9">
        <v>1.734</v>
      </c>
    </row>
    <row r="60" spans="1:28" x14ac:dyDescent="0.35">
      <c r="A60" s="4">
        <v>3335</v>
      </c>
      <c r="B60" s="5" t="s">
        <v>188</v>
      </c>
      <c r="C60" s="6">
        <v>43752</v>
      </c>
      <c r="D60" s="4">
        <v>98</v>
      </c>
      <c r="E60" s="8" t="s">
        <v>50</v>
      </c>
      <c r="F60" s="7" t="s">
        <v>196</v>
      </c>
      <c r="G60" s="8" t="s">
        <v>197</v>
      </c>
      <c r="H60" s="7" t="str">
        <f>"000038"</f>
        <v>000038</v>
      </c>
      <c r="I60" s="6">
        <v>43463</v>
      </c>
      <c r="J60" s="7" t="str">
        <f>"000089"</f>
        <v>000089</v>
      </c>
      <c r="K60" s="6">
        <v>43708</v>
      </c>
      <c r="L60" s="7" t="str">
        <f>"000089"</f>
        <v>000089</v>
      </c>
      <c r="M60" s="6">
        <v>43708</v>
      </c>
      <c r="N60" s="7">
        <v>18</v>
      </c>
      <c r="O60" s="7" t="str">
        <f>"005461"</f>
        <v>005461</v>
      </c>
      <c r="P60" s="6">
        <v>43739</v>
      </c>
      <c r="Q60" s="9">
        <v>19.986460000000001</v>
      </c>
      <c r="R60" s="9">
        <v>2.1288800000000001</v>
      </c>
      <c r="S60" s="9">
        <v>17.857579999999999</v>
      </c>
      <c r="T60" s="7">
        <v>13</v>
      </c>
      <c r="U60" s="6">
        <v>43752</v>
      </c>
      <c r="V60" s="7">
        <v>9482150029</v>
      </c>
      <c r="W60" s="8" t="s">
        <v>116</v>
      </c>
      <c r="X60" s="7" t="s">
        <v>33</v>
      </c>
      <c r="Y60" s="8" t="s">
        <v>34</v>
      </c>
      <c r="Z60" s="7" t="s">
        <v>43</v>
      </c>
      <c r="AA60" s="8" t="s">
        <v>44</v>
      </c>
      <c r="AB60" s="9">
        <v>0.1998646</v>
      </c>
    </row>
    <row r="61" spans="1:28" x14ac:dyDescent="0.35">
      <c r="A61" s="4">
        <v>3336</v>
      </c>
      <c r="B61" s="5" t="s">
        <v>188</v>
      </c>
      <c r="C61" s="6">
        <v>43762</v>
      </c>
      <c r="D61" s="4">
        <v>98</v>
      </c>
      <c r="E61" s="8" t="s">
        <v>50</v>
      </c>
      <c r="F61" s="7" t="s">
        <v>198</v>
      </c>
      <c r="G61" s="8" t="s">
        <v>199</v>
      </c>
      <c r="H61" s="7" t="str">
        <f>"000071"</f>
        <v>000071</v>
      </c>
      <c r="I61" s="6">
        <v>43535</v>
      </c>
      <c r="J61" s="7" t="str">
        <f>"000095"</f>
        <v>000095</v>
      </c>
      <c r="K61" s="6">
        <v>43735</v>
      </c>
      <c r="L61" s="7" t="str">
        <f>"000095"</f>
        <v>000095</v>
      </c>
      <c r="M61" s="6">
        <v>43735</v>
      </c>
      <c r="N61" s="7">
        <v>17</v>
      </c>
      <c r="O61" s="7" t="str">
        <f>"005844"</f>
        <v>005844</v>
      </c>
      <c r="P61" s="6">
        <v>43756</v>
      </c>
      <c r="Q61" s="9">
        <v>1.7549999999999999</v>
      </c>
      <c r="R61" s="9">
        <v>1.9800000000000002E-2</v>
      </c>
      <c r="S61" s="9">
        <v>1.7352000000000001</v>
      </c>
      <c r="T61" s="7">
        <v>13</v>
      </c>
      <c r="U61" s="6">
        <v>43762</v>
      </c>
      <c r="V61" s="7">
        <v>9945614169</v>
      </c>
      <c r="W61" s="8" t="s">
        <v>200</v>
      </c>
      <c r="X61" s="7" t="s">
        <v>39</v>
      </c>
      <c r="Y61" s="8" t="s">
        <v>40</v>
      </c>
      <c r="Z61" s="7" t="s">
        <v>43</v>
      </c>
      <c r="AA61" s="8" t="s">
        <v>44</v>
      </c>
      <c r="AB61" s="9">
        <v>1.755E-2</v>
      </c>
    </row>
    <row r="62" spans="1:28" x14ac:dyDescent="0.35">
      <c r="A62" s="4">
        <v>3337</v>
      </c>
      <c r="B62" s="5" t="s">
        <v>188</v>
      </c>
      <c r="C62" s="6">
        <v>43768</v>
      </c>
      <c r="D62" s="4">
        <v>98</v>
      </c>
      <c r="E62" s="8" t="s">
        <v>50</v>
      </c>
      <c r="F62" s="7" t="s">
        <v>201</v>
      </c>
      <c r="G62" s="8" t="s">
        <v>202</v>
      </c>
      <c r="H62" s="7" t="str">
        <f>"000017"</f>
        <v>000017</v>
      </c>
      <c r="I62" s="6">
        <v>43633</v>
      </c>
      <c r="J62" s="7" t="str">
        <f>"000109"</f>
        <v>000109</v>
      </c>
      <c r="K62" s="6">
        <v>43749</v>
      </c>
      <c r="L62" s="7" t="str">
        <f>"000109"</f>
        <v>000109</v>
      </c>
      <c r="M62" s="6">
        <v>43749</v>
      </c>
      <c r="N62" s="7">
        <v>18</v>
      </c>
      <c r="O62" s="7" t="str">
        <f>"005980"</f>
        <v>005980</v>
      </c>
      <c r="P62" s="6">
        <v>43763</v>
      </c>
      <c r="Q62" s="9">
        <v>98.998900000000006</v>
      </c>
      <c r="R62" s="9">
        <v>13.75658</v>
      </c>
      <c r="S62" s="9">
        <v>85.242320000000007</v>
      </c>
      <c r="T62" s="7">
        <v>13</v>
      </c>
      <c r="U62" s="6">
        <v>43768</v>
      </c>
      <c r="V62" s="7">
        <v>9480685639</v>
      </c>
      <c r="W62" s="8" t="s">
        <v>116</v>
      </c>
      <c r="X62" s="7" t="s">
        <v>33</v>
      </c>
      <c r="Y62" s="8" t="s">
        <v>34</v>
      </c>
      <c r="Z62" s="7" t="s">
        <v>43</v>
      </c>
      <c r="AA62" s="8" t="s">
        <v>44</v>
      </c>
      <c r="AB62" s="9">
        <v>0.98998900000000001</v>
      </c>
    </row>
    <row r="63" spans="1:28" x14ac:dyDescent="0.35">
      <c r="A63" s="4">
        <v>3338</v>
      </c>
      <c r="B63" s="5" t="s">
        <v>203</v>
      </c>
      <c r="C63" s="6">
        <v>43775</v>
      </c>
      <c r="D63" s="4">
        <v>98</v>
      </c>
      <c r="E63" s="8" t="s">
        <v>50</v>
      </c>
      <c r="F63" s="7" t="s">
        <v>204</v>
      </c>
      <c r="G63" s="8" t="s">
        <v>205</v>
      </c>
      <c r="H63" s="7" t="str">
        <f>"000257"</f>
        <v>000257</v>
      </c>
      <c r="I63" s="6">
        <v>43214</v>
      </c>
      <c r="J63" s="7" t="str">
        <f>"000027"</f>
        <v>000027</v>
      </c>
      <c r="K63" s="6">
        <v>43286</v>
      </c>
      <c r="L63" s="7" t="str">
        <f>"000087"</f>
        <v>000087</v>
      </c>
      <c r="M63" s="6">
        <v>43355</v>
      </c>
      <c r="N63" s="7">
        <v>17</v>
      </c>
      <c r="O63" s="7" t="str">
        <f>"006067"</f>
        <v>006067</v>
      </c>
      <c r="P63" s="6">
        <v>43775</v>
      </c>
      <c r="Q63" s="9">
        <v>9.8100400000000008</v>
      </c>
      <c r="R63" s="9">
        <v>1.17238</v>
      </c>
      <c r="S63" s="9">
        <v>8.6376600000000003</v>
      </c>
      <c r="T63" s="7">
        <v>13</v>
      </c>
      <c r="U63" s="6">
        <v>43775</v>
      </c>
      <c r="V63" s="7">
        <v>9449863068</v>
      </c>
      <c r="W63" s="8" t="s">
        <v>49</v>
      </c>
      <c r="X63" s="7" t="s">
        <v>206</v>
      </c>
      <c r="Y63" s="8" t="s">
        <v>207</v>
      </c>
      <c r="Z63" s="7" t="s">
        <v>47</v>
      </c>
      <c r="AA63" s="8" t="s">
        <v>48</v>
      </c>
      <c r="AB63" s="9">
        <v>9.8100400000000004E-2</v>
      </c>
    </row>
    <row r="64" spans="1:28" x14ac:dyDescent="0.35">
      <c r="A64" s="4">
        <v>3339</v>
      </c>
      <c r="B64" s="5" t="s">
        <v>203</v>
      </c>
      <c r="C64" s="6">
        <v>43775</v>
      </c>
      <c r="D64" s="4">
        <v>98</v>
      </c>
      <c r="E64" s="8" t="s">
        <v>50</v>
      </c>
      <c r="F64" s="7" t="s">
        <v>208</v>
      </c>
      <c r="G64" s="8" t="s">
        <v>209</v>
      </c>
      <c r="H64" s="7" t="str">
        <f>"000246"</f>
        <v>000246</v>
      </c>
      <c r="I64" s="6">
        <v>43201</v>
      </c>
      <c r="J64" s="7" t="str">
        <f>"000025"</f>
        <v>000025</v>
      </c>
      <c r="K64" s="6">
        <v>43284</v>
      </c>
      <c r="L64" s="7" t="str">
        <f>"000083"</f>
        <v>000083</v>
      </c>
      <c r="M64" s="6">
        <v>43355</v>
      </c>
      <c r="N64" s="7">
        <v>17</v>
      </c>
      <c r="O64" s="7" t="str">
        <f>"006068"</f>
        <v>006068</v>
      </c>
      <c r="P64" s="6">
        <v>43775</v>
      </c>
      <c r="Q64" s="9">
        <v>46.757399999999997</v>
      </c>
      <c r="R64" s="9">
        <v>5.5692000000000004</v>
      </c>
      <c r="S64" s="9">
        <v>41.188200000000002</v>
      </c>
      <c r="T64" s="7">
        <v>13</v>
      </c>
      <c r="U64" s="6">
        <v>43775</v>
      </c>
      <c r="V64" s="7">
        <v>9449863068</v>
      </c>
      <c r="W64" s="8" t="s">
        <v>49</v>
      </c>
      <c r="X64" s="7" t="s">
        <v>210</v>
      </c>
      <c r="Y64" s="8" t="s">
        <v>211</v>
      </c>
      <c r="Z64" s="7" t="s">
        <v>47</v>
      </c>
      <c r="AA64" s="8" t="s">
        <v>48</v>
      </c>
      <c r="AB64" s="9">
        <v>0.46757399999999999</v>
      </c>
    </row>
    <row r="65" spans="1:28" x14ac:dyDescent="0.35">
      <c r="A65" s="4">
        <v>3340</v>
      </c>
      <c r="B65" s="5" t="s">
        <v>203</v>
      </c>
      <c r="C65" s="6">
        <v>43775</v>
      </c>
      <c r="D65" s="4">
        <v>98</v>
      </c>
      <c r="E65" s="8" t="s">
        <v>50</v>
      </c>
      <c r="F65" s="7" t="s">
        <v>212</v>
      </c>
      <c r="G65" s="8" t="s">
        <v>213</v>
      </c>
      <c r="H65" s="7" t="str">
        <f>"000177"</f>
        <v>000177</v>
      </c>
      <c r="I65" s="6">
        <v>43133</v>
      </c>
      <c r="J65" s="7" t="str">
        <f>"000028"</f>
        <v>000028</v>
      </c>
      <c r="K65" s="6">
        <v>43286</v>
      </c>
      <c r="L65" s="7" t="str">
        <f>"000086"</f>
        <v>000086</v>
      </c>
      <c r="M65" s="6">
        <v>43355</v>
      </c>
      <c r="N65" s="7">
        <v>17</v>
      </c>
      <c r="O65" s="7" t="str">
        <f>"006071"</f>
        <v>006071</v>
      </c>
      <c r="P65" s="6">
        <v>43775</v>
      </c>
      <c r="Q65" s="9">
        <v>14.792400000000001</v>
      </c>
      <c r="R65" s="9">
        <v>1.76529</v>
      </c>
      <c r="S65" s="9">
        <v>13.02711</v>
      </c>
      <c r="T65" s="7">
        <v>13</v>
      </c>
      <c r="U65" s="6">
        <v>43775</v>
      </c>
      <c r="V65" s="7">
        <v>9449863068</v>
      </c>
      <c r="W65" s="8" t="s">
        <v>49</v>
      </c>
      <c r="X65" s="7" t="s">
        <v>206</v>
      </c>
      <c r="Y65" s="8" t="s">
        <v>207</v>
      </c>
      <c r="Z65" s="7" t="s">
        <v>47</v>
      </c>
      <c r="AA65" s="8" t="s">
        <v>48</v>
      </c>
      <c r="AB65" s="9">
        <v>0.147924</v>
      </c>
    </row>
    <row r="66" spans="1:28" x14ac:dyDescent="0.35">
      <c r="A66" s="4">
        <v>3341</v>
      </c>
      <c r="B66" s="5" t="s">
        <v>203</v>
      </c>
      <c r="C66" s="6">
        <v>43775</v>
      </c>
      <c r="D66" s="4">
        <v>98</v>
      </c>
      <c r="E66" s="8" t="s">
        <v>50</v>
      </c>
      <c r="F66" s="7" t="s">
        <v>214</v>
      </c>
      <c r="G66" s="8" t="s">
        <v>215</v>
      </c>
      <c r="H66" s="7" t="str">
        <f>"000248"</f>
        <v>000248</v>
      </c>
      <c r="I66" s="6">
        <v>43201</v>
      </c>
      <c r="J66" s="7" t="str">
        <f>"000016"</f>
        <v>000016</v>
      </c>
      <c r="K66" s="6">
        <v>43279</v>
      </c>
      <c r="L66" s="7" t="str">
        <f>"000085"</f>
        <v>000085</v>
      </c>
      <c r="M66" s="6">
        <v>43355</v>
      </c>
      <c r="N66" s="7">
        <v>17</v>
      </c>
      <c r="O66" s="7" t="str">
        <f>"006072"</f>
        <v>006072</v>
      </c>
      <c r="P66" s="6">
        <v>43775</v>
      </c>
      <c r="Q66" s="9">
        <v>32.98856</v>
      </c>
      <c r="R66" s="9">
        <v>3.5997400000000002</v>
      </c>
      <c r="S66" s="9">
        <v>29.388819999999999</v>
      </c>
      <c r="T66" s="7">
        <v>13</v>
      </c>
      <c r="U66" s="6">
        <v>43775</v>
      </c>
      <c r="V66" s="7">
        <v>9449863068</v>
      </c>
      <c r="W66" s="8" t="s">
        <v>49</v>
      </c>
      <c r="X66" s="7" t="s">
        <v>216</v>
      </c>
      <c r="Y66" s="8" t="s">
        <v>217</v>
      </c>
      <c r="Z66" s="7" t="s">
        <v>47</v>
      </c>
      <c r="AA66" s="8" t="s">
        <v>48</v>
      </c>
      <c r="AB66" s="9">
        <v>0.3298856</v>
      </c>
    </row>
    <row r="67" spans="1:28" x14ac:dyDescent="0.35">
      <c r="A67" s="4">
        <v>3342</v>
      </c>
      <c r="B67" s="5" t="s">
        <v>203</v>
      </c>
      <c r="C67" s="6">
        <v>43775</v>
      </c>
      <c r="D67" s="4">
        <v>98</v>
      </c>
      <c r="E67" s="8" t="s">
        <v>50</v>
      </c>
      <c r="F67" s="7" t="s">
        <v>218</v>
      </c>
      <c r="G67" s="8" t="s">
        <v>219</v>
      </c>
      <c r="H67" s="7" t="str">
        <f>"000243"</f>
        <v>000243</v>
      </c>
      <c r="I67" s="6">
        <v>43201</v>
      </c>
      <c r="J67" s="7" t="str">
        <f>"000024"</f>
        <v>000024</v>
      </c>
      <c r="K67" s="6">
        <v>43284</v>
      </c>
      <c r="L67" s="7" t="str">
        <f>"000081"</f>
        <v>000081</v>
      </c>
      <c r="M67" s="6">
        <v>43355</v>
      </c>
      <c r="N67" s="7">
        <v>17</v>
      </c>
      <c r="O67" s="7" t="str">
        <f>"006073"</f>
        <v>006073</v>
      </c>
      <c r="P67" s="6">
        <v>43775</v>
      </c>
      <c r="Q67" s="9">
        <v>40.859630000000003</v>
      </c>
      <c r="R67" s="9">
        <v>4.8672899999999997</v>
      </c>
      <c r="S67" s="9">
        <v>35.992339999999999</v>
      </c>
      <c r="T67" s="7">
        <v>13</v>
      </c>
      <c r="U67" s="6">
        <v>43775</v>
      </c>
      <c r="V67" s="7">
        <v>9449863068</v>
      </c>
      <c r="W67" s="8" t="s">
        <v>49</v>
      </c>
      <c r="X67" s="7" t="s">
        <v>210</v>
      </c>
      <c r="Y67" s="8" t="s">
        <v>211</v>
      </c>
      <c r="Z67" s="7" t="s">
        <v>47</v>
      </c>
      <c r="AA67" s="8" t="s">
        <v>48</v>
      </c>
      <c r="AB67" s="9">
        <v>0.40859630000000002</v>
      </c>
    </row>
    <row r="68" spans="1:28" x14ac:dyDescent="0.35">
      <c r="A68" s="4">
        <v>3343</v>
      </c>
      <c r="B68" s="5" t="s">
        <v>203</v>
      </c>
      <c r="C68" s="6">
        <v>43775</v>
      </c>
      <c r="D68" s="4">
        <v>98</v>
      </c>
      <c r="E68" s="8" t="s">
        <v>50</v>
      </c>
      <c r="F68" s="7" t="s">
        <v>220</v>
      </c>
      <c r="G68" s="8" t="s">
        <v>221</v>
      </c>
      <c r="H68" s="7" t="str">
        <f>"000249"</f>
        <v>000249</v>
      </c>
      <c r="I68" s="6">
        <v>43201</v>
      </c>
      <c r="J68" s="7" t="str">
        <f>"000026"</f>
        <v>000026</v>
      </c>
      <c r="K68" s="6">
        <v>43284</v>
      </c>
      <c r="L68" s="7" t="str">
        <f>"000082"</f>
        <v>000082</v>
      </c>
      <c r="M68" s="6">
        <v>43355</v>
      </c>
      <c r="N68" s="7">
        <v>17</v>
      </c>
      <c r="O68" s="7" t="str">
        <f>"006074"</f>
        <v>006074</v>
      </c>
      <c r="P68" s="6">
        <v>43775</v>
      </c>
      <c r="Q68" s="9">
        <v>31.886469999999999</v>
      </c>
      <c r="R68" s="9">
        <v>3.79433</v>
      </c>
      <c r="S68" s="9">
        <v>28.092140000000001</v>
      </c>
      <c r="T68" s="7">
        <v>13</v>
      </c>
      <c r="U68" s="6">
        <v>43775</v>
      </c>
      <c r="V68" s="7">
        <v>9449863068</v>
      </c>
      <c r="W68" s="8" t="s">
        <v>49</v>
      </c>
      <c r="X68" s="7" t="s">
        <v>216</v>
      </c>
      <c r="Y68" s="8" t="s">
        <v>217</v>
      </c>
      <c r="Z68" s="7" t="s">
        <v>47</v>
      </c>
      <c r="AA68" s="8" t="s">
        <v>48</v>
      </c>
      <c r="AB68" s="9">
        <v>0.3188647</v>
      </c>
    </row>
    <row r="69" spans="1:28" x14ac:dyDescent="0.35">
      <c r="A69" s="4">
        <v>3344</v>
      </c>
      <c r="B69" s="5" t="s">
        <v>203</v>
      </c>
      <c r="C69" s="6">
        <v>43775</v>
      </c>
      <c r="D69" s="4">
        <v>98</v>
      </c>
      <c r="E69" s="8" t="s">
        <v>50</v>
      </c>
      <c r="F69" s="7" t="s">
        <v>222</v>
      </c>
      <c r="G69" s="8" t="s">
        <v>223</v>
      </c>
      <c r="H69" s="7" t="str">
        <f>"000176"</f>
        <v>000176</v>
      </c>
      <c r="I69" s="6">
        <v>43133</v>
      </c>
      <c r="J69" s="7" t="str">
        <f>"000022"</f>
        <v>000022</v>
      </c>
      <c r="K69" s="6">
        <v>43284</v>
      </c>
      <c r="L69" s="7" t="str">
        <f>"000084"</f>
        <v>000084</v>
      </c>
      <c r="M69" s="6">
        <v>43355</v>
      </c>
      <c r="N69" s="7">
        <v>17</v>
      </c>
      <c r="O69" s="7" t="str">
        <f>"006075"</f>
        <v>006075</v>
      </c>
      <c r="P69" s="6">
        <v>43775</v>
      </c>
      <c r="Q69" s="9">
        <v>14.792400000000001</v>
      </c>
      <c r="R69" s="9">
        <v>1.7653799999999999</v>
      </c>
      <c r="S69" s="9">
        <v>13.02702</v>
      </c>
      <c r="T69" s="7">
        <v>13</v>
      </c>
      <c r="U69" s="6">
        <v>43775</v>
      </c>
      <c r="V69" s="7">
        <v>9731169150</v>
      </c>
      <c r="W69" s="8" t="s">
        <v>49</v>
      </c>
      <c r="X69" s="7" t="s">
        <v>206</v>
      </c>
      <c r="Y69" s="8" t="s">
        <v>207</v>
      </c>
      <c r="Z69" s="7" t="s">
        <v>47</v>
      </c>
      <c r="AA69" s="8" t="s">
        <v>48</v>
      </c>
      <c r="AB69" s="9">
        <v>0.147924</v>
      </c>
    </row>
    <row r="70" spans="1:28" x14ac:dyDescent="0.35">
      <c r="A70" s="4">
        <v>3345</v>
      </c>
      <c r="B70" s="5" t="s">
        <v>203</v>
      </c>
      <c r="C70" s="6">
        <v>43775</v>
      </c>
      <c r="D70" s="4">
        <v>98</v>
      </c>
      <c r="E70" s="8" t="s">
        <v>50</v>
      </c>
      <c r="F70" s="7" t="s">
        <v>224</v>
      </c>
      <c r="G70" s="8" t="s">
        <v>225</v>
      </c>
      <c r="H70" s="7" t="str">
        <f>"000175"</f>
        <v>000175</v>
      </c>
      <c r="I70" s="6">
        <v>43133</v>
      </c>
      <c r="J70" s="7" t="str">
        <f>"000023"</f>
        <v>000023</v>
      </c>
      <c r="K70" s="6">
        <v>43284</v>
      </c>
      <c r="L70" s="7" t="str">
        <f>"000080"</f>
        <v>000080</v>
      </c>
      <c r="M70" s="6">
        <v>43355</v>
      </c>
      <c r="N70" s="7">
        <v>17</v>
      </c>
      <c r="O70" s="7" t="str">
        <f>"006076"</f>
        <v>006076</v>
      </c>
      <c r="P70" s="6">
        <v>43775</v>
      </c>
      <c r="Q70" s="9">
        <v>9.7702200000000001</v>
      </c>
      <c r="R70" s="9">
        <v>1.1676299999999999</v>
      </c>
      <c r="S70" s="9">
        <v>8.6025899999999993</v>
      </c>
      <c r="T70" s="7">
        <v>13</v>
      </c>
      <c r="U70" s="6">
        <v>43775</v>
      </c>
      <c r="V70" s="7">
        <v>9731169150</v>
      </c>
      <c r="W70" s="8" t="s">
        <v>49</v>
      </c>
      <c r="X70" s="7" t="s">
        <v>206</v>
      </c>
      <c r="Y70" s="8" t="s">
        <v>207</v>
      </c>
      <c r="Z70" s="7" t="s">
        <v>47</v>
      </c>
      <c r="AA70" s="8" t="s">
        <v>48</v>
      </c>
      <c r="AB70" s="9">
        <v>9.7702200000000003E-2</v>
      </c>
    </row>
    <row r="71" spans="1:28" x14ac:dyDescent="0.35">
      <c r="A71" s="4">
        <v>3346</v>
      </c>
      <c r="B71" s="5" t="s">
        <v>203</v>
      </c>
      <c r="C71" s="6">
        <v>43780</v>
      </c>
      <c r="D71" s="4">
        <v>98</v>
      </c>
      <c r="E71" s="8" t="s">
        <v>50</v>
      </c>
      <c r="F71" s="7" t="s">
        <v>226</v>
      </c>
      <c r="G71" s="8" t="s">
        <v>227</v>
      </c>
      <c r="H71" s="7" t="str">
        <f>"000096"</f>
        <v>000096</v>
      </c>
      <c r="I71" s="6">
        <v>43552</v>
      </c>
      <c r="J71" s="7" t="str">
        <f>"000051"</f>
        <v>000051</v>
      </c>
      <c r="K71" s="6">
        <v>43639</v>
      </c>
      <c r="L71" s="7" t="str">
        <f>"000080"</f>
        <v>000080</v>
      </c>
      <c r="M71" s="6">
        <v>43652</v>
      </c>
      <c r="N71" s="7">
        <v>18</v>
      </c>
      <c r="O71" s="7" t="str">
        <f>"006152"</f>
        <v>006152</v>
      </c>
      <c r="P71" s="6">
        <v>43776</v>
      </c>
      <c r="Q71" s="9">
        <v>19.889220000000002</v>
      </c>
      <c r="R71" s="9">
        <v>2.17374</v>
      </c>
      <c r="S71" s="9">
        <v>17.715479999999999</v>
      </c>
      <c r="T71" s="7">
        <v>13</v>
      </c>
      <c r="U71" s="6">
        <v>43780</v>
      </c>
      <c r="V71" s="7">
        <v>9945867208</v>
      </c>
      <c r="W71" s="8" t="s">
        <v>169</v>
      </c>
      <c r="X71" s="7" t="s">
        <v>228</v>
      </c>
      <c r="Y71" s="8" t="s">
        <v>229</v>
      </c>
      <c r="Z71" s="7" t="s">
        <v>47</v>
      </c>
      <c r="AA71" s="8" t="s">
        <v>48</v>
      </c>
      <c r="AB71" s="9">
        <v>0.19889220000000002</v>
      </c>
    </row>
    <row r="72" spans="1:28" x14ac:dyDescent="0.35">
      <c r="A72" s="4">
        <v>3347</v>
      </c>
      <c r="B72" s="5" t="s">
        <v>230</v>
      </c>
      <c r="C72" s="6">
        <v>43801</v>
      </c>
      <c r="D72" s="4">
        <v>98</v>
      </c>
      <c r="E72" s="8" t="s">
        <v>50</v>
      </c>
      <c r="F72" s="7" t="s">
        <v>231</v>
      </c>
      <c r="G72" s="8" t="s">
        <v>232</v>
      </c>
      <c r="H72" s="7" t="str">
        <f>"000245"</f>
        <v>000245</v>
      </c>
      <c r="I72" s="6">
        <v>43201</v>
      </c>
      <c r="J72" s="7" t="str">
        <f>"000078"</f>
        <v>000078</v>
      </c>
      <c r="K72" s="6">
        <v>43755</v>
      </c>
      <c r="L72" s="7" t="str">
        <f>"000178"</f>
        <v>000178</v>
      </c>
      <c r="M72" s="6">
        <v>43763</v>
      </c>
      <c r="N72" s="7">
        <v>17</v>
      </c>
      <c r="O72" s="7" t="str">
        <f>"006469"</f>
        <v>006469</v>
      </c>
      <c r="P72" s="6">
        <v>43797</v>
      </c>
      <c r="Q72" s="9">
        <v>43.015369999999997</v>
      </c>
      <c r="R72" s="9">
        <v>5.4917800000000003</v>
      </c>
      <c r="S72" s="9">
        <v>37.523589999999999</v>
      </c>
      <c r="T72" s="7">
        <v>13</v>
      </c>
      <c r="U72" s="6">
        <v>43801</v>
      </c>
      <c r="V72" s="7">
        <v>9449863068</v>
      </c>
      <c r="W72" s="8" t="s">
        <v>49</v>
      </c>
      <c r="X72" s="7" t="s">
        <v>33</v>
      </c>
      <c r="Y72" s="8" t="s">
        <v>34</v>
      </c>
      <c r="Z72" s="7" t="s">
        <v>47</v>
      </c>
      <c r="AA72" s="8" t="s">
        <v>48</v>
      </c>
      <c r="AB72" s="9">
        <v>0.43015369999999997</v>
      </c>
    </row>
    <row r="73" spans="1:28" x14ac:dyDescent="0.35">
      <c r="A73" s="4">
        <v>3348</v>
      </c>
      <c r="B73" s="5" t="s">
        <v>230</v>
      </c>
      <c r="C73" s="6">
        <v>43801</v>
      </c>
      <c r="D73" s="4">
        <v>98</v>
      </c>
      <c r="E73" s="8" t="s">
        <v>50</v>
      </c>
      <c r="F73" s="7" t="s">
        <v>233</v>
      </c>
      <c r="G73" s="8" t="s">
        <v>234</v>
      </c>
      <c r="H73" s="7" t="str">
        <f>"000136"</f>
        <v>000136</v>
      </c>
      <c r="I73" s="6">
        <v>43733</v>
      </c>
      <c r="J73" s="7" t="str">
        <f>"000077"</f>
        <v>000077</v>
      </c>
      <c r="K73" s="6">
        <v>43748</v>
      </c>
      <c r="L73" s="7" t="str">
        <f>"000184"</f>
        <v>000184</v>
      </c>
      <c r="M73" s="6">
        <v>43768</v>
      </c>
      <c r="N73" s="7">
        <v>18</v>
      </c>
      <c r="O73" s="7" t="str">
        <f>"006470"</f>
        <v>006470</v>
      </c>
      <c r="P73" s="6">
        <v>43797</v>
      </c>
      <c r="Q73" s="9">
        <v>24.981999999999999</v>
      </c>
      <c r="R73" s="9">
        <v>3.16913</v>
      </c>
      <c r="S73" s="9">
        <v>21.81287</v>
      </c>
      <c r="T73" s="7">
        <v>13</v>
      </c>
      <c r="U73" s="6">
        <v>43801</v>
      </c>
      <c r="V73" s="7">
        <v>9945867208</v>
      </c>
      <c r="W73" s="8" t="s">
        <v>169</v>
      </c>
      <c r="X73" s="7" t="s">
        <v>33</v>
      </c>
      <c r="Y73" s="8" t="s">
        <v>34</v>
      </c>
      <c r="Z73" s="7" t="s">
        <v>47</v>
      </c>
      <c r="AA73" s="8" t="s">
        <v>48</v>
      </c>
      <c r="AB73" s="9">
        <v>0.24981999999999999</v>
      </c>
    </row>
    <row r="74" spans="1:28" x14ac:dyDescent="0.35">
      <c r="A74" s="4">
        <v>3349</v>
      </c>
      <c r="B74" s="5" t="s">
        <v>230</v>
      </c>
      <c r="C74" s="6">
        <v>43818</v>
      </c>
      <c r="D74" s="4">
        <v>98</v>
      </c>
      <c r="E74" s="8" t="s">
        <v>50</v>
      </c>
      <c r="F74" s="7" t="s">
        <v>235</v>
      </c>
      <c r="G74" s="8" t="s">
        <v>236</v>
      </c>
      <c r="H74" s="7" t="str">
        <f>"000083"</f>
        <v>000083</v>
      </c>
      <c r="I74" s="6">
        <v>43544</v>
      </c>
      <c r="J74" s="7" t="str">
        <f>"000081"</f>
        <v>000081</v>
      </c>
      <c r="K74" s="6">
        <v>43761</v>
      </c>
      <c r="L74" s="7" t="str">
        <f>"000183"</f>
        <v>000183</v>
      </c>
      <c r="M74" s="6">
        <v>43768</v>
      </c>
      <c r="N74" s="7">
        <v>19</v>
      </c>
      <c r="O74" s="7" t="str">
        <f>"006884"</f>
        <v>006884</v>
      </c>
      <c r="P74" s="6">
        <v>43818</v>
      </c>
      <c r="Q74" s="9">
        <v>49.277970000000003</v>
      </c>
      <c r="R74" s="9">
        <v>6.2691499999999998</v>
      </c>
      <c r="S74" s="9">
        <v>43.00882</v>
      </c>
      <c r="T74" s="7">
        <v>13</v>
      </c>
      <c r="U74" s="6">
        <v>43818</v>
      </c>
      <c r="V74" s="7">
        <v>9945867208</v>
      </c>
      <c r="W74" s="8" t="s">
        <v>169</v>
      </c>
      <c r="X74" s="7" t="s">
        <v>45</v>
      </c>
      <c r="Y74" s="8" t="s">
        <v>46</v>
      </c>
      <c r="Z74" s="7" t="s">
        <v>47</v>
      </c>
      <c r="AA74" s="8" t="s">
        <v>48</v>
      </c>
      <c r="AB74" s="9">
        <v>0.49277970000000004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2020-01-28T12:06:34Z</dcterms:modified>
</cp:coreProperties>
</file>